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95" activeTab="0"/>
  </bookViews>
  <sheets>
    <sheet name="FY 24-25" sheetId="1" r:id="rId1"/>
    <sheet name="FY 23-24" sheetId="2" r:id="rId2"/>
    <sheet name="FY 22-23" sheetId="3" r:id="rId3"/>
    <sheet name="FY 21-22" sheetId="4" r:id="rId4"/>
    <sheet name="FY 20-21" sheetId="5" r:id="rId5"/>
    <sheet name="FY 19-20" sheetId="6" r:id="rId6"/>
    <sheet name="FY 18-19" sheetId="7" r:id="rId7"/>
    <sheet name="FY 17-18" sheetId="8" r:id="rId8"/>
    <sheet name="FY 16-17" sheetId="9" r:id="rId9"/>
    <sheet name="FY 15-16" sheetId="10" r:id="rId10"/>
    <sheet name="FY 14-15" sheetId="11" r:id="rId11"/>
    <sheet name="FY 13-14" sheetId="12" r:id="rId12"/>
    <sheet name="FY 12-13" sheetId="13" r:id="rId13"/>
    <sheet name="FY 11-12" sheetId="14" r:id="rId14"/>
    <sheet name="FY 10-11" sheetId="15" r:id="rId15"/>
    <sheet name="FY 09-10" sheetId="16" r:id="rId16"/>
    <sheet name="FY 08-09" sheetId="17" r:id="rId17"/>
    <sheet name="FY 07-08" sheetId="18" r:id="rId18"/>
    <sheet name="FY 06-07" sheetId="19" r:id="rId19"/>
    <sheet name="FY 05-06" sheetId="20" r:id="rId20"/>
    <sheet name="FY 04-05" sheetId="21" r:id="rId21"/>
    <sheet name="FY 03-04" sheetId="22" r:id="rId22"/>
  </sheets>
  <definedNames>
    <definedName name="_xlfn.IFERROR" hidden="1">#NAME?</definedName>
    <definedName name="_xlnm.Print_Area" localSheetId="21">'FY 03-04'!$A$1:$F$66</definedName>
    <definedName name="_xlnm.Print_Area" localSheetId="20">'FY 04-05'!$A$1:$F$66</definedName>
    <definedName name="_xlnm.Print_Area" localSheetId="19">'FY 05-06'!$A$1:$F$67</definedName>
    <definedName name="_xlnm.Print_Area" localSheetId="18">'FY 06-07'!$A$1:$F$66</definedName>
    <definedName name="_xlnm.Print_Area" localSheetId="17">'FY 07-08'!$A$1:$F$66</definedName>
    <definedName name="_xlnm.Print_Area" localSheetId="16">'FY 08-09'!$A$1:$F$66</definedName>
    <definedName name="_xlnm.Print_Area" localSheetId="15">'FY 09-10'!$A$1:$F$66</definedName>
    <definedName name="_xlnm.Print_Area" localSheetId="14">'FY 10-11'!$A$1:$F$66</definedName>
    <definedName name="_xlnm.Print_Area" localSheetId="13">'FY 11-12'!$A$1:$G$66</definedName>
    <definedName name="_xlnm.Print_Area" localSheetId="12">'FY 12-13'!$A$1:$G$66</definedName>
    <definedName name="_xlnm.Print_Area" localSheetId="11">'FY 13-14'!$A$1:$G$66</definedName>
    <definedName name="_xlnm.Print_Area" localSheetId="10">'FY 14-15'!$A$1:$G$66</definedName>
    <definedName name="_xlnm.Print_Area" localSheetId="9">'FY 15-16'!$A$1:$G$67</definedName>
    <definedName name="_xlnm.Print_Area" localSheetId="8">'FY 16-17'!$A$1:$G$67</definedName>
    <definedName name="_xlnm.Print_Area" localSheetId="7">'FY 17-18'!$A$1:$G$66</definedName>
    <definedName name="_xlnm.Print_Area" localSheetId="6">'FY 18-19'!$A$1:$G$65</definedName>
    <definedName name="_xlnm.Print_Area" localSheetId="5">'FY 19-20'!$A$1:$G$65</definedName>
    <definedName name="_xlnm.Print_Area" localSheetId="4">'FY 20-21'!$A$1:$G$66</definedName>
    <definedName name="_xlnm.Print_Area" localSheetId="3">'FY 21-22'!$A$1:$G$65</definedName>
    <definedName name="_xlnm.Print_Area" localSheetId="2">'FY 22-23'!$A$1:$G$65</definedName>
    <definedName name="_xlnm.Print_Area" localSheetId="1">'FY 23-24'!$A$1:$G$66</definedName>
    <definedName name="_xlnm.Print_Area" localSheetId="0">'FY 24-25'!$A$1:$G$66</definedName>
  </definedNames>
  <calcPr fullCalcOnLoad="1"/>
</workbook>
</file>

<file path=xl/sharedStrings.xml><?xml version="1.0" encoding="utf-8"?>
<sst xmlns="http://schemas.openxmlformats.org/spreadsheetml/2006/main" count="402" uniqueCount="42">
  <si>
    <t>Credits</t>
  </si>
  <si>
    <t>Avg Daily</t>
  </si>
  <si>
    <t>Win/VGM</t>
  </si>
  <si>
    <t>Played</t>
  </si>
  <si>
    <t>Won</t>
  </si>
  <si>
    <t>Net Win</t>
  </si>
  <si>
    <t>VGM's</t>
  </si>
  <si>
    <t>per Day</t>
  </si>
  <si>
    <t>Total</t>
  </si>
  <si>
    <t>Fiscal Year 2008/2009</t>
  </si>
  <si>
    <t>Fiscal Year 2009/2010</t>
  </si>
  <si>
    <t>Week-Ending</t>
  </si>
  <si>
    <t>Fiscal Year 2005/2006</t>
  </si>
  <si>
    <t>Totals</t>
  </si>
  <si>
    <t>Fiscal Year 2006/2007</t>
  </si>
  <si>
    <t>Fiscal Year 2007/2008</t>
  </si>
  <si>
    <t>Fiscal Year 2003/2004</t>
  </si>
  <si>
    <t>Fiscal Year 2004/2005</t>
  </si>
  <si>
    <t>Fairgrounds Gaming &amp; Raceway</t>
  </si>
  <si>
    <t>5600 McKinley Parkway</t>
  </si>
  <si>
    <t>Hamburg, NY 14075</t>
  </si>
  <si>
    <t>www.the-fairgrounds.com/gaming.php</t>
  </si>
  <si>
    <t>(716) 646-6109</t>
  </si>
  <si>
    <t>Fiscal Year 2010/2011</t>
  </si>
  <si>
    <t>Hamburg Casino at the Fairgrounds</t>
  </si>
  <si>
    <t>Fiscal Year 2011/2012</t>
  </si>
  <si>
    <t>Free Play</t>
  </si>
  <si>
    <t>Fiscal Year 2012/2013</t>
  </si>
  <si>
    <t>Allowance</t>
  </si>
  <si>
    <t>Fiscal Year 2013/2014</t>
  </si>
  <si>
    <t>Hamburg Gaming</t>
  </si>
  <si>
    <t>Fiscal Year 2014/2015</t>
  </si>
  <si>
    <t>Fiscal Year 2015/2016</t>
  </si>
  <si>
    <t>Fiscal Year 2016/2017</t>
  </si>
  <si>
    <t>Fiscal Year 2017/2018</t>
  </si>
  <si>
    <t>Fiscal Year 2018/2019</t>
  </si>
  <si>
    <t>Fiscal Year 2019/2020</t>
  </si>
  <si>
    <t>Fiscal Year 2020/2021</t>
  </si>
  <si>
    <t>Fiscal Year 2021/2022</t>
  </si>
  <si>
    <t>Fiscal Year 2022/2023</t>
  </si>
  <si>
    <t>Fiscal Year 2023/2024</t>
  </si>
  <si>
    <t>Fiscal Year 2024/2025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</si>
</sst>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%_);[Red]\(0.00%\)"/>
    <numFmt numFmtId="166" formatCode="mm/dd/yy;@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_);\(&quot;$&quot;#,##0.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6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10" fillId="0" borderId="1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6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38" fontId="10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6" fontId="0" fillId="0" borderId="0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6" fontId="2" fillId="0" borderId="0" xfId="60" applyNumberFormat="1" applyBorder="1">
      <alignment vertical="top"/>
      <protection/>
    </xf>
    <xf numFmtId="38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2" fillId="0" borderId="0" xfId="60">
      <alignment vertical="top"/>
      <protection/>
    </xf>
    <xf numFmtId="0" fontId="2" fillId="0" borderId="0" xfId="60" applyAlignment="1">
      <alignment horizontal="center"/>
      <protection/>
    </xf>
    <xf numFmtId="6" fontId="5" fillId="0" borderId="0" xfId="60" applyNumberFormat="1" applyFont="1" applyBorder="1" applyAlignment="1">
      <alignment/>
      <protection/>
    </xf>
    <xf numFmtId="6" fontId="6" fillId="0" borderId="0" xfId="60" applyNumberFormat="1" applyFont="1" applyBorder="1" applyAlignment="1">
      <alignment/>
      <protection/>
    </xf>
    <xf numFmtId="6" fontId="7" fillId="0" borderId="0" xfId="53" applyNumberFormat="1" applyFont="1" applyBorder="1" applyAlignment="1" applyProtection="1">
      <alignment/>
      <protection/>
    </xf>
    <xf numFmtId="6" fontId="8" fillId="0" borderId="0" xfId="60" applyNumberFormat="1" applyFont="1" applyBorder="1" applyAlignment="1">
      <alignment/>
      <protection/>
    </xf>
    <xf numFmtId="6" fontId="3" fillId="0" borderId="0" xfId="53" applyNumberFormat="1" applyBorder="1" applyAlignment="1" applyProtection="1">
      <alignment/>
      <protection/>
    </xf>
    <xf numFmtId="166" fontId="8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2" fillId="0" borderId="0" xfId="60" applyNumberFormat="1" applyBorder="1" applyAlignment="1">
      <alignment horizontal="center" vertical="center" wrapText="1"/>
      <protection/>
    </xf>
    <xf numFmtId="167" fontId="0" fillId="0" borderId="0" xfId="0" applyNumberFormat="1" applyAlignment="1">
      <alignment/>
    </xf>
    <xf numFmtId="5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5" fontId="46" fillId="0" borderId="0" xfId="0" applyNumberFormat="1" applyFont="1" applyBorder="1" applyAlignment="1">
      <alignment/>
    </xf>
    <xf numFmtId="5" fontId="0" fillId="0" borderId="0" xfId="0" applyNumberFormat="1" applyBorder="1" applyAlignment="1">
      <alignment/>
    </xf>
    <xf numFmtId="6" fontId="5" fillId="0" borderId="0" xfId="60" applyNumberFormat="1" applyFont="1" applyBorder="1" applyAlignment="1">
      <alignment horizontal="center"/>
      <protection/>
    </xf>
    <xf numFmtId="6" fontId="6" fillId="0" borderId="0" xfId="60" applyNumberFormat="1" applyFont="1" applyBorder="1" applyAlignment="1">
      <alignment horizontal="center"/>
      <protection/>
    </xf>
    <xf numFmtId="6" fontId="3" fillId="0" borderId="0" xfId="53" applyNumberFormat="1" applyBorder="1" applyAlignment="1" applyProtection="1">
      <alignment horizontal="center"/>
      <protection/>
    </xf>
    <xf numFmtId="6" fontId="8" fillId="0" borderId="0" xfId="60" applyNumberFormat="1" applyFont="1" applyBorder="1" applyAlignment="1">
      <alignment horizontal="center"/>
      <protection/>
    </xf>
    <xf numFmtId="164" fontId="9" fillId="33" borderId="12" xfId="0" applyNumberFormat="1" applyFont="1" applyFill="1" applyBorder="1" applyAlignment="1">
      <alignment horizontal="center"/>
    </xf>
    <xf numFmtId="164" fontId="9" fillId="33" borderId="13" xfId="0" applyNumberFormat="1" applyFont="1" applyFill="1" applyBorder="1" applyAlignment="1">
      <alignment horizontal="center"/>
    </xf>
    <xf numFmtId="164" fontId="9" fillId="33" borderId="14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114300</xdr:rowOff>
    </xdr:from>
    <xdr:to>
      <xdr:col>1</xdr:col>
      <xdr:colOff>390525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1190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114300</xdr:rowOff>
    </xdr:from>
    <xdr:to>
      <xdr:col>1</xdr:col>
      <xdr:colOff>390525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1190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114300</xdr:rowOff>
    </xdr:from>
    <xdr:to>
      <xdr:col>1</xdr:col>
      <xdr:colOff>390525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1190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114300</xdr:rowOff>
    </xdr:from>
    <xdr:to>
      <xdr:col>1</xdr:col>
      <xdr:colOff>390525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1190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133350</xdr:rowOff>
    </xdr:from>
    <xdr:to>
      <xdr:col>1</xdr:col>
      <xdr:colOff>295275</xdr:colOff>
      <xdr:row>5</xdr:row>
      <xdr:rowOff>114300</xdr:rowOff>
    </xdr:to>
    <xdr:pic>
      <xdr:nvPicPr>
        <xdr:cNvPr id="1" name="Picture 1" descr="hamburgCas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1181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133350</xdr:rowOff>
    </xdr:from>
    <xdr:to>
      <xdr:col>1</xdr:col>
      <xdr:colOff>295275</xdr:colOff>
      <xdr:row>5</xdr:row>
      <xdr:rowOff>114300</xdr:rowOff>
    </xdr:to>
    <xdr:pic>
      <xdr:nvPicPr>
        <xdr:cNvPr id="1" name="Picture 1" descr="hamburgCas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1181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133350</xdr:rowOff>
    </xdr:from>
    <xdr:to>
      <xdr:col>1</xdr:col>
      <xdr:colOff>295275</xdr:colOff>
      <xdr:row>5</xdr:row>
      <xdr:rowOff>114300</xdr:rowOff>
    </xdr:to>
    <xdr:pic>
      <xdr:nvPicPr>
        <xdr:cNvPr id="1" name="Picture 2" descr="hamburgCasi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1181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123825</xdr:rowOff>
    </xdr:from>
    <xdr:to>
      <xdr:col>1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285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</xdr:col>
      <xdr:colOff>466725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409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</xdr:col>
      <xdr:colOff>466725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409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</xdr:col>
      <xdr:colOff>466725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4097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114300</xdr:rowOff>
    </xdr:from>
    <xdr:to>
      <xdr:col>1</xdr:col>
      <xdr:colOff>390525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1190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</xdr:col>
      <xdr:colOff>466725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533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</xdr:col>
      <xdr:colOff>466725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409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</xdr:col>
      <xdr:colOff>466725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1409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114300</xdr:rowOff>
    </xdr:from>
    <xdr:to>
      <xdr:col>1</xdr:col>
      <xdr:colOff>390525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1190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114300</xdr:rowOff>
    </xdr:from>
    <xdr:to>
      <xdr:col>1</xdr:col>
      <xdr:colOff>390525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1190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114300</xdr:rowOff>
    </xdr:from>
    <xdr:to>
      <xdr:col>1</xdr:col>
      <xdr:colOff>390525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1190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114300</xdr:rowOff>
    </xdr:from>
    <xdr:to>
      <xdr:col>1</xdr:col>
      <xdr:colOff>390525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1190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114300</xdr:rowOff>
    </xdr:from>
    <xdr:to>
      <xdr:col>1</xdr:col>
      <xdr:colOff>390525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1190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114300</xdr:rowOff>
    </xdr:from>
    <xdr:to>
      <xdr:col>1</xdr:col>
      <xdr:colOff>390525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1190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114300</xdr:rowOff>
    </xdr:from>
    <xdr:to>
      <xdr:col>1</xdr:col>
      <xdr:colOff>390525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11906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-fairgrounds.com/gaming.php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31" sqref="F31"/>
    </sheetView>
  </sheetViews>
  <sheetFormatPr defaultColWidth="9.140625" defaultRowHeight="12.75"/>
  <cols>
    <col min="1" max="1" width="15.7109375" style="22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0" s="26" customFormat="1" ht="18">
      <c r="A1" s="42" t="s">
        <v>30</v>
      </c>
      <c r="B1" s="42"/>
      <c r="C1" s="42"/>
      <c r="D1" s="42"/>
      <c r="E1" s="42"/>
      <c r="F1" s="42"/>
      <c r="G1" s="42"/>
      <c r="H1" s="28"/>
      <c r="I1" s="28"/>
      <c r="J1" s="28"/>
    </row>
    <row r="2" spans="1:10" s="26" customFormat="1" ht="15">
      <c r="A2" s="43" t="s">
        <v>19</v>
      </c>
      <c r="B2" s="43"/>
      <c r="C2" s="43"/>
      <c r="D2" s="43"/>
      <c r="E2" s="43"/>
      <c r="F2" s="43"/>
      <c r="G2" s="43"/>
      <c r="H2" s="29"/>
      <c r="I2" s="29"/>
      <c r="J2" s="29"/>
    </row>
    <row r="3" spans="1:10" s="27" customFormat="1" ht="15">
      <c r="A3" s="43" t="s">
        <v>20</v>
      </c>
      <c r="B3" s="43"/>
      <c r="C3" s="43"/>
      <c r="D3" s="43"/>
      <c r="E3" s="43"/>
      <c r="F3" s="43"/>
      <c r="G3" s="43"/>
      <c r="H3" s="29"/>
      <c r="I3" s="29"/>
      <c r="J3" s="29"/>
    </row>
    <row r="4" spans="1:10" s="27" customFormat="1" ht="14.25">
      <c r="A4" s="44" t="s">
        <v>21</v>
      </c>
      <c r="B4" s="44"/>
      <c r="C4" s="44"/>
      <c r="D4" s="44"/>
      <c r="E4" s="44"/>
      <c r="F4" s="44"/>
      <c r="G4" s="44"/>
      <c r="H4" s="32"/>
      <c r="I4" s="30"/>
      <c r="J4" s="30"/>
    </row>
    <row r="5" spans="1:10" s="27" customFormat="1" ht="14.25">
      <c r="A5" s="45" t="s">
        <v>22</v>
      </c>
      <c r="B5" s="45"/>
      <c r="C5" s="45"/>
      <c r="D5" s="45"/>
      <c r="E5" s="45"/>
      <c r="F5" s="45"/>
      <c r="G5" s="45"/>
      <c r="H5" s="31"/>
      <c r="I5" s="31"/>
      <c r="J5" s="31"/>
    </row>
    <row r="6" spans="1:7" s="1" customFormat="1" ht="14.25">
      <c r="A6" s="33"/>
      <c r="B6" s="2"/>
      <c r="C6" s="2"/>
      <c r="D6" s="2"/>
      <c r="E6" s="2"/>
      <c r="F6" s="2"/>
      <c r="G6" s="2"/>
    </row>
    <row r="7" spans="1:7" s="7" customFormat="1" ht="14.25" customHeight="1">
      <c r="A7" s="46" t="s">
        <v>41</v>
      </c>
      <c r="B7" s="47"/>
      <c r="C7" s="47"/>
      <c r="D7" s="47"/>
      <c r="E7" s="47"/>
      <c r="F7" s="47"/>
      <c r="G7" s="48"/>
    </row>
    <row r="8" spans="1:7" s="1" customFormat="1" ht="9" customHeight="1">
      <c r="A8" s="22"/>
      <c r="B8" s="4"/>
      <c r="C8" s="4"/>
      <c r="D8" s="4"/>
      <c r="E8" s="5"/>
      <c r="F8" s="6"/>
      <c r="G8" s="5"/>
    </row>
    <row r="9" spans="1:7" s="12" customFormat="1" ht="12">
      <c r="A9" s="34"/>
      <c r="B9" s="10" t="s">
        <v>0</v>
      </c>
      <c r="C9" s="10" t="s">
        <v>26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35" t="s">
        <v>11</v>
      </c>
      <c r="B10" s="8" t="s">
        <v>3</v>
      </c>
      <c r="C10" s="8" t="s">
        <v>28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2">
        <v>45381</v>
      </c>
      <c r="B12" s="18">
        <v>21428913.29</v>
      </c>
      <c r="C12" s="18">
        <v>301187.57</v>
      </c>
      <c r="D12" s="18">
        <f aca="true" t="shared" si="0" ref="D12:D64">IF(ISBLANK(B12),"",B12-C12-E12)</f>
        <v>19621993</v>
      </c>
      <c r="E12" s="18">
        <v>1505732.7199999997</v>
      </c>
      <c r="F12" s="39">
        <v>913</v>
      </c>
      <c r="G12" s="18">
        <f>IF(ISBLANK(B12),"",E12/F12/7)</f>
        <v>235.60205288687212</v>
      </c>
    </row>
    <row r="13" spans="1:7" ht="12.75">
      <c r="A13" s="22">
        <f aca="true" t="shared" si="1" ref="A13:A63">+A12+7</f>
        <v>45388</v>
      </c>
      <c r="B13" s="18">
        <v>22499112.45</v>
      </c>
      <c r="C13" s="18">
        <v>316209.37999999995</v>
      </c>
      <c r="D13" s="18">
        <f t="shared" si="0"/>
        <v>20604014.04</v>
      </c>
      <c r="E13" s="18">
        <v>1578889.0299999996</v>
      </c>
      <c r="F13" s="39">
        <v>913</v>
      </c>
      <c r="G13" s="18">
        <f>IF(ISBLANK(B13),"",E13/F13/7)</f>
        <v>247.0488233453293</v>
      </c>
    </row>
    <row r="14" spans="1:7" ht="12.75">
      <c r="A14" s="22">
        <f t="shared" si="1"/>
        <v>45395</v>
      </c>
      <c r="B14" s="18">
        <v>20577973.900000002</v>
      </c>
      <c r="C14" s="18">
        <v>266038.96</v>
      </c>
      <c r="D14" s="18">
        <f t="shared" si="0"/>
        <v>18808493.09</v>
      </c>
      <c r="E14" s="18">
        <v>1503441.85</v>
      </c>
      <c r="F14" s="39">
        <v>913</v>
      </c>
      <c r="G14" s="18">
        <f>IF(ISBLANK(B14),"",E14/F14/7)</f>
        <v>235.2436003755281</v>
      </c>
    </row>
    <row r="15" spans="1:7" ht="12.75">
      <c r="A15" s="22">
        <f t="shared" si="1"/>
        <v>45402</v>
      </c>
      <c r="B15" s="18">
        <v>21212017.520000003</v>
      </c>
      <c r="C15" s="18">
        <v>108221.23000000004</v>
      </c>
      <c r="D15" s="18">
        <f t="shared" si="0"/>
        <v>19450482.050000004</v>
      </c>
      <c r="E15" s="18">
        <v>1653314.2399999993</v>
      </c>
      <c r="F15" s="39">
        <v>913</v>
      </c>
      <c r="G15" s="18">
        <f aca="true" t="shared" si="2" ref="G15:G63">IF(ISBLANK(B15),"",E15/F15/7)</f>
        <v>258.69413863245177</v>
      </c>
    </row>
    <row r="16" spans="1:7" ht="12.75">
      <c r="A16" s="22">
        <f t="shared" si="1"/>
        <v>45409</v>
      </c>
      <c r="B16" s="18">
        <v>21605378.88</v>
      </c>
      <c r="C16" s="18">
        <v>288110.71</v>
      </c>
      <c r="D16" s="18">
        <f t="shared" si="0"/>
        <v>19839955.009999998</v>
      </c>
      <c r="E16" s="18">
        <v>1477313.1599999997</v>
      </c>
      <c r="F16" s="39">
        <v>913</v>
      </c>
      <c r="G16" s="18">
        <f t="shared" si="2"/>
        <v>231.15524331090592</v>
      </c>
    </row>
    <row r="17" spans="1:7" ht="12.75">
      <c r="A17" s="22">
        <f t="shared" si="1"/>
        <v>45416</v>
      </c>
      <c r="B17" s="18">
        <v>21123915.09</v>
      </c>
      <c r="C17" s="18">
        <v>280040.66</v>
      </c>
      <c r="D17" s="18">
        <f t="shared" si="0"/>
        <v>19268666.27</v>
      </c>
      <c r="E17" s="18">
        <v>1575208.16</v>
      </c>
      <c r="F17" s="39">
        <v>913</v>
      </c>
      <c r="G17" s="18">
        <f t="shared" si="2"/>
        <v>246.4728774839618</v>
      </c>
    </row>
    <row r="18" spans="1:7" ht="12.75">
      <c r="A18" s="22">
        <f t="shared" si="1"/>
        <v>45423</v>
      </c>
      <c r="B18" s="18">
        <v>21200136.509999998</v>
      </c>
      <c r="C18" s="18">
        <v>259960.23</v>
      </c>
      <c r="D18" s="18">
        <f t="shared" si="0"/>
        <v>19387246.499999996</v>
      </c>
      <c r="E18" s="18">
        <v>1552929.7799999998</v>
      </c>
      <c r="F18" s="39">
        <v>913</v>
      </c>
      <c r="G18" s="18">
        <f t="shared" si="2"/>
        <v>242.98697856360505</v>
      </c>
    </row>
    <row r="19" spans="1:7" ht="12.75">
      <c r="A19" s="22">
        <f t="shared" si="1"/>
        <v>45430</v>
      </c>
      <c r="B19" s="18">
        <v>21568551.33</v>
      </c>
      <c r="C19" s="18">
        <v>69710.09999999998</v>
      </c>
      <c r="D19" s="18">
        <f t="shared" si="0"/>
        <v>19774257.129999995</v>
      </c>
      <c r="E19" s="18">
        <v>1724584.0999999996</v>
      </c>
      <c r="F19" s="39">
        <v>913</v>
      </c>
      <c r="G19" s="18">
        <f t="shared" si="2"/>
        <v>269.8457361915193</v>
      </c>
    </row>
    <row r="20" spans="1:7" ht="12.75">
      <c r="A20" s="22">
        <f t="shared" si="1"/>
        <v>45437</v>
      </c>
      <c r="B20" s="18">
        <v>20405671</v>
      </c>
      <c r="C20" s="18">
        <v>265267.77999999997</v>
      </c>
      <c r="D20" s="18">
        <f t="shared" si="0"/>
        <v>18728510.72</v>
      </c>
      <c r="E20" s="18">
        <v>1411892.4999999995</v>
      </c>
      <c r="F20" s="39">
        <v>913</v>
      </c>
      <c r="G20" s="18">
        <f t="shared" si="2"/>
        <v>220.91887028634008</v>
      </c>
    </row>
    <row r="21" spans="1:7" ht="12.75">
      <c r="A21" s="22">
        <f t="shared" si="1"/>
        <v>45444</v>
      </c>
      <c r="B21" s="18">
        <v>21454545.63</v>
      </c>
      <c r="C21" s="18">
        <v>282159.2</v>
      </c>
      <c r="D21" s="18">
        <f t="shared" si="0"/>
        <v>19687108.79</v>
      </c>
      <c r="E21" s="18">
        <v>1485277.6399999992</v>
      </c>
      <c r="F21" s="39">
        <v>913</v>
      </c>
      <c r="G21" s="18">
        <f t="shared" si="2"/>
        <v>232.4014457831324</v>
      </c>
    </row>
    <row r="22" spans="1:7" ht="12.75">
      <c r="A22" s="22">
        <f t="shared" si="1"/>
        <v>45451</v>
      </c>
      <c r="B22" s="18">
        <v>20701432.96</v>
      </c>
      <c r="C22" s="18">
        <v>270332.06</v>
      </c>
      <c r="D22" s="18">
        <f t="shared" si="0"/>
        <v>18894754.220000003</v>
      </c>
      <c r="E22" s="18">
        <v>1536346.68</v>
      </c>
      <c r="F22" s="39">
        <v>913</v>
      </c>
      <c r="G22" s="18">
        <f t="shared" si="2"/>
        <v>240.39222030981065</v>
      </c>
    </row>
    <row r="23" spans="1:7" ht="12.75">
      <c r="A23" s="22">
        <f t="shared" si="1"/>
        <v>45458</v>
      </c>
      <c r="B23" s="18">
        <v>18853885.56</v>
      </c>
      <c r="C23" s="18">
        <v>235584.18</v>
      </c>
      <c r="D23" s="18">
        <f t="shared" si="0"/>
        <v>17192818.669999998</v>
      </c>
      <c r="E23" s="18">
        <v>1425482.7100000002</v>
      </c>
      <c r="F23" s="39">
        <v>913</v>
      </c>
      <c r="G23" s="18">
        <f t="shared" si="2"/>
        <v>223.04533093412616</v>
      </c>
    </row>
    <row r="24" spans="1:7" ht="12.75">
      <c r="A24" s="22">
        <f t="shared" si="1"/>
        <v>45465</v>
      </c>
      <c r="B24" s="18">
        <v>18995838.06</v>
      </c>
      <c r="C24" s="18">
        <v>14648.53999999995</v>
      </c>
      <c r="D24" s="18">
        <f t="shared" si="0"/>
        <v>17268078.27</v>
      </c>
      <c r="E24" s="18">
        <v>1713111.25</v>
      </c>
      <c r="F24" s="39">
        <v>913</v>
      </c>
      <c r="G24" s="18">
        <f t="shared" si="2"/>
        <v>268.0505789391331</v>
      </c>
    </row>
    <row r="25" spans="1:7" ht="12.75">
      <c r="A25" s="22">
        <f t="shared" si="1"/>
        <v>45472</v>
      </c>
      <c r="B25" s="18">
        <v>21720907.97</v>
      </c>
      <c r="C25" s="18">
        <v>269167.19</v>
      </c>
      <c r="D25" s="18">
        <f t="shared" si="0"/>
        <v>19931546.52</v>
      </c>
      <c r="E25" s="18">
        <v>1520194.2599999995</v>
      </c>
      <c r="F25" s="39">
        <v>900</v>
      </c>
      <c r="G25" s="18">
        <f t="shared" si="2"/>
        <v>241.30067619047614</v>
      </c>
    </row>
    <row r="26" spans="1:7" ht="12.75">
      <c r="A26" s="22">
        <f t="shared" si="1"/>
        <v>45479</v>
      </c>
      <c r="B26" s="18">
        <v>22060242.66</v>
      </c>
      <c r="C26" s="18">
        <v>308506.00000000006</v>
      </c>
      <c r="D26" s="18">
        <f t="shared" si="0"/>
        <v>20188554.27</v>
      </c>
      <c r="E26" s="18">
        <v>1563182.3900000001</v>
      </c>
      <c r="F26" s="39">
        <v>913</v>
      </c>
      <c r="G26" s="18">
        <f t="shared" si="2"/>
        <v>244.59120481927715</v>
      </c>
    </row>
    <row r="27" spans="1:7" ht="12.75">
      <c r="A27" s="22">
        <f t="shared" si="1"/>
        <v>45486</v>
      </c>
      <c r="B27" s="18">
        <v>19156738.490000002</v>
      </c>
      <c r="C27" s="18">
        <v>75832.21999999997</v>
      </c>
      <c r="D27" s="18">
        <f t="shared" si="0"/>
        <v>17547343.560000002</v>
      </c>
      <c r="E27" s="18">
        <v>1533562.7099999997</v>
      </c>
      <c r="F27" s="39">
        <v>913</v>
      </c>
      <c r="G27" s="18">
        <f t="shared" si="2"/>
        <v>239.95661242372083</v>
      </c>
    </row>
    <row r="28" spans="1:7" ht="12.75">
      <c r="A28" s="22">
        <f t="shared" si="1"/>
        <v>45493</v>
      </c>
      <c r="B28" s="18">
        <v>19165820.68</v>
      </c>
      <c r="C28" s="18">
        <v>244933.94</v>
      </c>
      <c r="D28" s="18">
        <f t="shared" si="0"/>
        <v>17598876.72</v>
      </c>
      <c r="E28" s="18">
        <v>1322010.0199999998</v>
      </c>
      <c r="F28" s="39">
        <v>913</v>
      </c>
      <c r="G28" s="18">
        <f t="shared" si="2"/>
        <v>206.8549554060397</v>
      </c>
    </row>
    <row r="29" spans="1:7" ht="12.75">
      <c r="A29" s="22">
        <f t="shared" si="1"/>
        <v>45500</v>
      </c>
      <c r="B29" s="18">
        <v>21032906.27</v>
      </c>
      <c r="C29" s="18">
        <v>285525.53</v>
      </c>
      <c r="D29" s="18">
        <f t="shared" si="0"/>
        <v>19189003.38</v>
      </c>
      <c r="E29" s="18">
        <v>1558377.3599999999</v>
      </c>
      <c r="F29" s="39">
        <v>913</v>
      </c>
      <c r="G29" s="18">
        <f t="shared" si="2"/>
        <v>243.83936160225315</v>
      </c>
    </row>
    <row r="30" spans="1:7" ht="12.75">
      <c r="A30" s="22">
        <f t="shared" si="1"/>
        <v>45507</v>
      </c>
      <c r="B30" s="18">
        <v>21370218.23</v>
      </c>
      <c r="C30" s="18">
        <v>281864.29000000004</v>
      </c>
      <c r="D30" s="18">
        <f t="shared" si="0"/>
        <v>19479299.700000003</v>
      </c>
      <c r="E30" s="18">
        <v>1609054.2400000002</v>
      </c>
      <c r="F30" s="39">
        <v>913</v>
      </c>
      <c r="G30" s="18">
        <f t="shared" si="2"/>
        <v>251.76877483961826</v>
      </c>
    </row>
    <row r="31" spans="1:7" ht="12.75">
      <c r="A31" s="22">
        <f t="shared" si="1"/>
        <v>45514</v>
      </c>
      <c r="B31" s="18"/>
      <c r="C31" s="18"/>
      <c r="D31" s="18">
        <f t="shared" si="0"/>
      </c>
      <c r="E31" s="18"/>
      <c r="F31" s="39"/>
      <c r="G31" s="18">
        <f t="shared" si="2"/>
      </c>
    </row>
    <row r="32" spans="1:7" ht="12.75">
      <c r="A32" s="22">
        <f t="shared" si="1"/>
        <v>45521</v>
      </c>
      <c r="B32" s="18"/>
      <c r="C32" s="18"/>
      <c r="D32" s="18">
        <f t="shared" si="0"/>
      </c>
      <c r="E32" s="18"/>
      <c r="F32" s="39"/>
      <c r="G32" s="18">
        <f t="shared" si="2"/>
      </c>
    </row>
    <row r="33" spans="1:7" ht="12.75">
      <c r="A33" s="22">
        <f t="shared" si="1"/>
        <v>45528</v>
      </c>
      <c r="B33" s="18"/>
      <c r="C33" s="18"/>
      <c r="D33" s="18">
        <f t="shared" si="0"/>
      </c>
      <c r="E33" s="18"/>
      <c r="F33" s="39"/>
      <c r="G33" s="18">
        <f t="shared" si="2"/>
      </c>
    </row>
    <row r="34" spans="1:7" ht="12.75">
      <c r="A34" s="22">
        <f t="shared" si="1"/>
        <v>45535</v>
      </c>
      <c r="B34" s="18"/>
      <c r="C34" s="18"/>
      <c r="D34" s="18">
        <f t="shared" si="0"/>
      </c>
      <c r="E34" s="18"/>
      <c r="F34" s="39"/>
      <c r="G34" s="18">
        <f t="shared" si="2"/>
      </c>
    </row>
    <row r="35" spans="1:7" ht="12.75">
      <c r="A35" s="22">
        <f t="shared" si="1"/>
        <v>45542</v>
      </c>
      <c r="B35" s="18"/>
      <c r="C35" s="18"/>
      <c r="D35" s="18">
        <f t="shared" si="0"/>
      </c>
      <c r="E35" s="18"/>
      <c r="F35" s="39"/>
      <c r="G35" s="18">
        <f t="shared" si="2"/>
      </c>
    </row>
    <row r="36" spans="1:7" ht="12.75">
      <c r="A36" s="22">
        <f t="shared" si="1"/>
        <v>45549</v>
      </c>
      <c r="B36" s="18"/>
      <c r="C36" s="18"/>
      <c r="D36" s="18">
        <f t="shared" si="0"/>
      </c>
      <c r="E36" s="18"/>
      <c r="F36" s="39"/>
      <c r="G36" s="18">
        <f t="shared" si="2"/>
      </c>
    </row>
    <row r="37" spans="1:7" ht="12.75">
      <c r="A37" s="22">
        <f t="shared" si="1"/>
        <v>45556</v>
      </c>
      <c r="B37" s="18"/>
      <c r="C37" s="18"/>
      <c r="D37" s="18">
        <f t="shared" si="0"/>
      </c>
      <c r="E37" s="18"/>
      <c r="F37" s="39"/>
      <c r="G37" s="18">
        <f t="shared" si="2"/>
      </c>
    </row>
    <row r="38" spans="1:7" ht="12.75">
      <c r="A38" s="22">
        <f t="shared" si="1"/>
        <v>45563</v>
      </c>
      <c r="B38" s="18"/>
      <c r="C38" s="18"/>
      <c r="D38" s="18">
        <f t="shared" si="0"/>
      </c>
      <c r="E38" s="18"/>
      <c r="F38" s="39"/>
      <c r="G38" s="18">
        <f t="shared" si="2"/>
      </c>
    </row>
    <row r="39" spans="1:7" ht="12.75">
      <c r="A39" s="22">
        <f t="shared" si="1"/>
        <v>45570</v>
      </c>
      <c r="B39" s="40"/>
      <c r="C39" s="40"/>
      <c r="D39" s="18">
        <f t="shared" si="0"/>
      </c>
      <c r="E39" s="40"/>
      <c r="F39" s="39"/>
      <c r="G39" s="18">
        <f t="shared" si="2"/>
      </c>
    </row>
    <row r="40" spans="1:7" ht="12.75">
      <c r="A40" s="22">
        <f t="shared" si="1"/>
        <v>45577</v>
      </c>
      <c r="B40" s="18"/>
      <c r="C40" s="18"/>
      <c r="D40" s="18">
        <f t="shared" si="0"/>
      </c>
      <c r="E40" s="18"/>
      <c r="F40" s="39"/>
      <c r="G40" s="18">
        <f t="shared" si="2"/>
      </c>
    </row>
    <row r="41" spans="1:7" ht="12.75">
      <c r="A41" s="22">
        <f t="shared" si="1"/>
        <v>45584</v>
      </c>
      <c r="B41" s="18"/>
      <c r="C41" s="18"/>
      <c r="D41" s="18">
        <f t="shared" si="0"/>
      </c>
      <c r="E41" s="18"/>
      <c r="F41" s="39"/>
      <c r="G41" s="18">
        <f t="shared" si="2"/>
      </c>
    </row>
    <row r="42" spans="1:7" ht="12.75">
      <c r="A42" s="22">
        <f t="shared" si="1"/>
        <v>45591</v>
      </c>
      <c r="B42" s="18"/>
      <c r="C42" s="41"/>
      <c r="D42" s="18">
        <f t="shared" si="0"/>
      </c>
      <c r="E42" s="18"/>
      <c r="F42" s="39"/>
      <c r="G42" s="18">
        <f t="shared" si="2"/>
      </c>
    </row>
    <row r="43" spans="1:7" ht="12.75">
      <c r="A43" s="22">
        <f t="shared" si="1"/>
        <v>45598</v>
      </c>
      <c r="B43" s="18"/>
      <c r="C43" s="18"/>
      <c r="D43" s="18">
        <f t="shared" si="0"/>
      </c>
      <c r="E43" s="18"/>
      <c r="F43" s="39"/>
      <c r="G43" s="18">
        <f t="shared" si="2"/>
      </c>
    </row>
    <row r="44" spans="1:7" ht="12.75">
      <c r="A44" s="22">
        <f t="shared" si="1"/>
        <v>45605</v>
      </c>
      <c r="B44" s="18"/>
      <c r="C44" s="18"/>
      <c r="D44" s="18">
        <f t="shared" si="0"/>
      </c>
      <c r="E44" s="18"/>
      <c r="F44" s="39"/>
      <c r="G44" s="18">
        <f t="shared" si="2"/>
      </c>
    </row>
    <row r="45" spans="1:7" ht="12.75">
      <c r="A45" s="22">
        <f t="shared" si="1"/>
        <v>45612</v>
      </c>
      <c r="B45" s="18"/>
      <c r="C45" s="41"/>
      <c r="D45" s="18">
        <f t="shared" si="0"/>
      </c>
      <c r="E45" s="18"/>
      <c r="F45" s="39"/>
      <c r="G45" s="18">
        <f t="shared" si="2"/>
      </c>
    </row>
    <row r="46" spans="1:7" ht="12.75">
      <c r="A46" s="22">
        <f t="shared" si="1"/>
        <v>45619</v>
      </c>
      <c r="B46" s="18"/>
      <c r="C46" s="18"/>
      <c r="D46" s="18">
        <f t="shared" si="0"/>
      </c>
      <c r="E46" s="18"/>
      <c r="F46" s="39"/>
      <c r="G46" s="18">
        <f t="shared" si="2"/>
      </c>
    </row>
    <row r="47" spans="1:7" ht="12.75">
      <c r="A47" s="22">
        <f t="shared" si="1"/>
        <v>45626</v>
      </c>
      <c r="B47" s="18"/>
      <c r="C47" s="18"/>
      <c r="D47" s="18">
        <f t="shared" si="0"/>
      </c>
      <c r="E47" s="18"/>
      <c r="F47" s="39"/>
      <c r="G47" s="18">
        <f t="shared" si="2"/>
      </c>
    </row>
    <row r="48" spans="1:7" ht="12.75">
      <c r="A48" s="22">
        <f t="shared" si="1"/>
        <v>45633</v>
      </c>
      <c r="B48" s="18"/>
      <c r="C48" s="18"/>
      <c r="D48" s="18">
        <f t="shared" si="0"/>
      </c>
      <c r="E48" s="18"/>
      <c r="F48" s="39"/>
      <c r="G48" s="18">
        <f t="shared" si="2"/>
      </c>
    </row>
    <row r="49" spans="1:7" ht="12.75">
      <c r="A49" s="22">
        <f t="shared" si="1"/>
        <v>45640</v>
      </c>
      <c r="B49" s="18"/>
      <c r="C49" s="18"/>
      <c r="D49" s="18">
        <f t="shared" si="0"/>
      </c>
      <c r="E49" s="18"/>
      <c r="F49" s="39"/>
      <c r="G49" s="18">
        <f t="shared" si="2"/>
      </c>
    </row>
    <row r="50" spans="1:7" ht="12.75">
      <c r="A50" s="22">
        <f t="shared" si="1"/>
        <v>45647</v>
      </c>
      <c r="B50" s="18"/>
      <c r="C50" s="18"/>
      <c r="D50" s="18">
        <f t="shared" si="0"/>
      </c>
      <c r="E50" s="18"/>
      <c r="F50" s="39"/>
      <c r="G50" s="18">
        <f t="shared" si="2"/>
      </c>
    </row>
    <row r="51" spans="1:7" ht="12.75">
      <c r="A51" s="22">
        <f t="shared" si="1"/>
        <v>45654</v>
      </c>
      <c r="B51" s="18"/>
      <c r="C51" s="18"/>
      <c r="D51" s="18">
        <f t="shared" si="0"/>
      </c>
      <c r="E51" s="18"/>
      <c r="F51" s="39"/>
      <c r="G51" s="18">
        <f t="shared" si="2"/>
      </c>
    </row>
    <row r="52" spans="1:7" ht="12.75">
      <c r="A52" s="22">
        <f t="shared" si="1"/>
        <v>45661</v>
      </c>
      <c r="B52" s="18"/>
      <c r="C52" s="18"/>
      <c r="D52" s="18">
        <f t="shared" si="0"/>
      </c>
      <c r="E52" s="18"/>
      <c r="F52" s="39"/>
      <c r="G52" s="18">
        <f t="shared" si="2"/>
      </c>
    </row>
    <row r="53" spans="1:7" ht="12.75">
      <c r="A53" s="22">
        <f t="shared" si="1"/>
        <v>45668</v>
      </c>
      <c r="B53" s="18"/>
      <c r="C53" s="18"/>
      <c r="D53" s="18">
        <f t="shared" si="0"/>
      </c>
      <c r="E53" s="18"/>
      <c r="F53" s="39"/>
      <c r="G53" s="18">
        <f t="shared" si="2"/>
      </c>
    </row>
    <row r="54" spans="1:7" ht="12.75">
      <c r="A54" s="22">
        <f t="shared" si="1"/>
        <v>45675</v>
      </c>
      <c r="B54" s="18"/>
      <c r="C54" s="18"/>
      <c r="D54" s="18">
        <f t="shared" si="0"/>
      </c>
      <c r="E54" s="18"/>
      <c r="F54" s="39"/>
      <c r="G54" s="18">
        <f t="shared" si="2"/>
      </c>
    </row>
    <row r="55" spans="1:7" ht="12.75">
      <c r="A55" s="22">
        <f t="shared" si="1"/>
        <v>45682</v>
      </c>
      <c r="B55" s="18"/>
      <c r="C55" s="18"/>
      <c r="D55" s="18">
        <f t="shared" si="0"/>
      </c>
      <c r="E55" s="18"/>
      <c r="F55" s="39"/>
      <c r="G55" s="18">
        <f t="shared" si="2"/>
      </c>
    </row>
    <row r="56" spans="1:7" ht="12.75">
      <c r="A56" s="22">
        <f t="shared" si="1"/>
        <v>45689</v>
      </c>
      <c r="B56" s="18"/>
      <c r="C56" s="18"/>
      <c r="D56" s="18">
        <f t="shared" si="0"/>
      </c>
      <c r="E56" s="18"/>
      <c r="F56" s="39"/>
      <c r="G56" s="18">
        <f t="shared" si="2"/>
      </c>
    </row>
    <row r="57" spans="1:7" ht="12.75">
      <c r="A57" s="22">
        <f t="shared" si="1"/>
        <v>45696</v>
      </c>
      <c r="B57" s="18"/>
      <c r="C57" s="18"/>
      <c r="D57" s="18">
        <f t="shared" si="0"/>
      </c>
      <c r="E57" s="18"/>
      <c r="F57" s="39"/>
      <c r="G57" s="18">
        <f t="shared" si="2"/>
      </c>
    </row>
    <row r="58" spans="1:7" ht="12.75">
      <c r="A58" s="22">
        <f t="shared" si="1"/>
        <v>45703</v>
      </c>
      <c r="B58" s="18"/>
      <c r="C58" s="18"/>
      <c r="D58" s="18">
        <f t="shared" si="0"/>
      </c>
      <c r="E58" s="18"/>
      <c r="F58" s="39"/>
      <c r="G58" s="18">
        <f t="shared" si="2"/>
      </c>
    </row>
    <row r="59" spans="1:7" ht="12.75">
      <c r="A59" s="22">
        <f t="shared" si="1"/>
        <v>45710</v>
      </c>
      <c r="B59" s="18"/>
      <c r="C59" s="18"/>
      <c r="D59" s="18">
        <f t="shared" si="0"/>
      </c>
      <c r="E59" s="18"/>
      <c r="F59" s="39"/>
      <c r="G59" s="18">
        <f t="shared" si="2"/>
      </c>
    </row>
    <row r="60" spans="1:7" ht="12.75">
      <c r="A60" s="22">
        <f t="shared" si="1"/>
        <v>45717</v>
      </c>
      <c r="B60" s="18"/>
      <c r="C60" s="18"/>
      <c r="D60" s="18">
        <f t="shared" si="0"/>
      </c>
      <c r="E60" s="18"/>
      <c r="F60" s="39"/>
      <c r="G60" s="18">
        <f t="shared" si="2"/>
      </c>
    </row>
    <row r="61" spans="1:7" ht="12.75">
      <c r="A61" s="22">
        <f t="shared" si="1"/>
        <v>45724</v>
      </c>
      <c r="B61" s="18"/>
      <c r="C61" s="18"/>
      <c r="D61" s="18">
        <f t="shared" si="0"/>
      </c>
      <c r="E61" s="18"/>
      <c r="F61" s="39"/>
      <c r="G61" s="18">
        <f t="shared" si="2"/>
      </c>
    </row>
    <row r="62" spans="1:7" ht="12.75">
      <c r="A62" s="22">
        <f t="shared" si="1"/>
        <v>45731</v>
      </c>
      <c r="B62" s="18"/>
      <c r="C62" s="18"/>
      <c r="D62" s="18">
        <f t="shared" si="0"/>
      </c>
      <c r="E62" s="18"/>
      <c r="F62" s="39"/>
      <c r="G62" s="18">
        <f t="shared" si="2"/>
      </c>
    </row>
    <row r="63" spans="1:7" ht="12.75">
      <c r="A63" s="22">
        <f t="shared" si="1"/>
        <v>45738</v>
      </c>
      <c r="B63" s="18"/>
      <c r="C63" s="18"/>
      <c r="D63" s="18">
        <f t="shared" si="0"/>
      </c>
      <c r="E63" s="18"/>
      <c r="F63" s="39"/>
      <c r="G63" s="18">
        <f t="shared" si="2"/>
      </c>
    </row>
    <row r="64" spans="2:7" ht="12.75">
      <c r="B64" s="18"/>
      <c r="C64" s="18"/>
      <c r="D64" s="18">
        <f t="shared" si="0"/>
      </c>
      <c r="E64" s="18"/>
      <c r="F64" s="39"/>
      <c r="G64" s="18"/>
    </row>
    <row r="65" ht="12.75">
      <c r="G65" s="15">
        <f>_xlfn.IFERROR((E65/F65/7),"")</f>
      </c>
    </row>
    <row r="66" spans="1:7" ht="13.5" thickBot="1">
      <c r="A66" s="22" t="s">
        <v>8</v>
      </c>
      <c r="B66" s="17">
        <f>IF(SUM(B12:B65)=0,"",SUM(B12:B65))</f>
        <v>396134206.48</v>
      </c>
      <c r="C66" s="17">
        <f>IF(SUM(C12:C65)=0,"",SUM(C12:C65))</f>
        <v>4423299.77</v>
      </c>
      <c r="D66" s="17">
        <f>IF(SUM(D12:D65)=0,"",SUM(D12:D65))</f>
        <v>362461001.9099999</v>
      </c>
      <c r="E66" s="17">
        <f>IF(SUM(E12:E65)=0,"",SUM(E12:E65))</f>
        <v>29249904.799999997</v>
      </c>
      <c r="F66" s="24">
        <f>_xlfn.IFERROR(SUM(F12:F63)/COUNT(F12:F63)," ")</f>
        <v>912.3157894736842</v>
      </c>
      <c r="G66" s="17">
        <f>_xlfn.IFERROR(E66/SUM(F12:F65)/7," ")</f>
        <v>241.06137236479913</v>
      </c>
    </row>
    <row r="67" spans="1:5" s="21" customFormat="1" ht="13.5" thickTop="1">
      <c r="A67" s="22"/>
      <c r="B67" s="20"/>
      <c r="C67" s="20"/>
      <c r="D67" s="20"/>
      <c r="E67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pane ySplit="11" topLeftCell="A57" activePane="bottomLeft" state="frozen"/>
      <selection pane="topLeft" activeCell="A1" sqref="A1"/>
      <selection pane="bottomLeft" activeCell="G66" sqref="G66"/>
    </sheetView>
  </sheetViews>
  <sheetFormatPr defaultColWidth="9.140625" defaultRowHeight="12.75"/>
  <cols>
    <col min="1" max="1" width="15.7109375" style="22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0" s="26" customFormat="1" ht="18">
      <c r="A1" s="42" t="s">
        <v>30</v>
      </c>
      <c r="B1" s="42"/>
      <c r="C1" s="42"/>
      <c r="D1" s="42"/>
      <c r="E1" s="42"/>
      <c r="F1" s="42"/>
      <c r="G1" s="42"/>
      <c r="H1" s="28"/>
      <c r="I1" s="28"/>
      <c r="J1" s="28"/>
    </row>
    <row r="2" spans="1:10" s="26" customFormat="1" ht="15">
      <c r="A2" s="43" t="s">
        <v>19</v>
      </c>
      <c r="B2" s="43"/>
      <c r="C2" s="43"/>
      <c r="D2" s="43"/>
      <c r="E2" s="43"/>
      <c r="F2" s="43"/>
      <c r="G2" s="43"/>
      <c r="H2" s="29"/>
      <c r="I2" s="29"/>
      <c r="J2" s="29"/>
    </row>
    <row r="3" spans="1:10" s="27" customFormat="1" ht="15">
      <c r="A3" s="43" t="s">
        <v>20</v>
      </c>
      <c r="B3" s="43"/>
      <c r="C3" s="43"/>
      <c r="D3" s="43"/>
      <c r="E3" s="43"/>
      <c r="F3" s="43"/>
      <c r="G3" s="43"/>
      <c r="H3" s="29"/>
      <c r="I3" s="29"/>
      <c r="J3" s="29"/>
    </row>
    <row r="4" spans="1:10" s="27" customFormat="1" ht="14.25">
      <c r="A4" s="44" t="s">
        <v>21</v>
      </c>
      <c r="B4" s="44"/>
      <c r="C4" s="44"/>
      <c r="D4" s="44"/>
      <c r="E4" s="44"/>
      <c r="F4" s="44"/>
      <c r="G4" s="44"/>
      <c r="H4" s="32"/>
      <c r="I4" s="30"/>
      <c r="J4" s="30"/>
    </row>
    <row r="5" spans="1:10" s="27" customFormat="1" ht="14.25">
      <c r="A5" s="45" t="s">
        <v>22</v>
      </c>
      <c r="B5" s="45"/>
      <c r="C5" s="45"/>
      <c r="D5" s="45"/>
      <c r="E5" s="45"/>
      <c r="F5" s="45"/>
      <c r="G5" s="45"/>
      <c r="H5" s="31"/>
      <c r="I5" s="31"/>
      <c r="J5" s="31"/>
    </row>
    <row r="6" spans="1:7" s="1" customFormat="1" ht="14.25">
      <c r="A6" s="33"/>
      <c r="B6" s="2"/>
      <c r="C6" s="2"/>
      <c r="D6" s="2"/>
      <c r="E6" s="2"/>
      <c r="F6" s="2"/>
      <c r="G6" s="2"/>
    </row>
    <row r="7" spans="1:7" s="1" customFormat="1" ht="12.75">
      <c r="A7" s="22"/>
      <c r="B7" s="4"/>
      <c r="C7" s="4"/>
      <c r="D7" s="4"/>
      <c r="E7" s="5"/>
      <c r="F7" s="6"/>
      <c r="G7" s="5"/>
    </row>
    <row r="8" spans="1:7" s="7" customFormat="1" ht="14.25" customHeight="1">
      <c r="A8" s="46" t="s">
        <v>32</v>
      </c>
      <c r="B8" s="47"/>
      <c r="C8" s="47"/>
      <c r="D8" s="47"/>
      <c r="E8" s="47"/>
      <c r="F8" s="47"/>
      <c r="G8" s="48"/>
    </row>
    <row r="9" spans="1:7" s="1" customFormat="1" ht="9" customHeight="1">
      <c r="A9" s="22"/>
      <c r="B9" s="4"/>
      <c r="C9" s="4"/>
      <c r="D9" s="4"/>
      <c r="E9" s="5"/>
      <c r="F9" s="6"/>
      <c r="G9" s="5"/>
    </row>
    <row r="10" spans="1:7" s="12" customFormat="1" ht="12">
      <c r="A10" s="34"/>
      <c r="B10" s="10" t="s">
        <v>0</v>
      </c>
      <c r="C10" s="10" t="s">
        <v>26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35" t="s">
        <v>11</v>
      </c>
      <c r="B11" s="8" t="s">
        <v>3</v>
      </c>
      <c r="C11" s="8" t="s">
        <v>28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42091</v>
      </c>
      <c r="B13" s="15">
        <v>17522646</v>
      </c>
      <c r="C13" s="15">
        <f>143214.89-20728</f>
        <v>122486.89000000001</v>
      </c>
      <c r="D13" s="15">
        <f aca="true" t="shared" si="0" ref="D13:D65">+B13-C13-E13</f>
        <v>15971307.11</v>
      </c>
      <c r="E13" s="15">
        <v>1428852</v>
      </c>
      <c r="F13" s="16">
        <v>940</v>
      </c>
      <c r="G13" s="15">
        <v>217</v>
      </c>
    </row>
    <row r="14" spans="1:7" ht="12.75">
      <c r="A14" s="22">
        <f aca="true" t="shared" si="1" ref="A14:A65">+A13+7</f>
        <v>42098</v>
      </c>
      <c r="B14" s="15">
        <v>15846703</v>
      </c>
      <c r="C14" s="15">
        <v>110870.05</v>
      </c>
      <c r="D14" s="15">
        <f t="shared" si="0"/>
        <v>14440410.95</v>
      </c>
      <c r="E14" s="15">
        <v>1295422</v>
      </c>
      <c r="F14" s="16">
        <v>940</v>
      </c>
      <c r="G14" s="15">
        <v>197</v>
      </c>
    </row>
    <row r="15" spans="1:7" ht="12.75">
      <c r="A15" s="22">
        <f t="shared" si="1"/>
        <v>42105</v>
      </c>
      <c r="B15" s="15">
        <v>16661069</v>
      </c>
      <c r="C15" s="15">
        <v>135057.71</v>
      </c>
      <c r="D15" s="15">
        <f t="shared" si="0"/>
        <v>15128229.29</v>
      </c>
      <c r="E15" s="15">
        <v>1397782</v>
      </c>
      <c r="F15" s="16">
        <v>940</v>
      </c>
      <c r="G15" s="15">
        <v>212</v>
      </c>
    </row>
    <row r="16" spans="1:7" ht="12.75">
      <c r="A16" s="22">
        <f t="shared" si="1"/>
        <v>42112</v>
      </c>
      <c r="B16" s="15">
        <v>19633145</v>
      </c>
      <c r="C16" s="15">
        <v>184267.78</v>
      </c>
      <c r="D16" s="15">
        <f t="shared" si="0"/>
        <v>17884931.22</v>
      </c>
      <c r="E16" s="15">
        <v>1563946</v>
      </c>
      <c r="F16" s="16">
        <v>940</v>
      </c>
      <c r="G16" s="15">
        <v>238</v>
      </c>
    </row>
    <row r="17" spans="1:7" ht="12.75">
      <c r="A17" s="22">
        <f t="shared" si="1"/>
        <v>42119</v>
      </c>
      <c r="B17" s="15">
        <v>17099225</v>
      </c>
      <c r="C17" s="15">
        <v>148088.38</v>
      </c>
      <c r="D17" s="15">
        <f t="shared" si="0"/>
        <v>15597216.620000001</v>
      </c>
      <c r="E17" s="15">
        <v>1353920</v>
      </c>
      <c r="F17" s="16">
        <v>940</v>
      </c>
      <c r="G17" s="15">
        <v>206</v>
      </c>
    </row>
    <row r="18" spans="1:7" ht="12.75">
      <c r="A18" s="22">
        <f t="shared" si="1"/>
        <v>42126</v>
      </c>
      <c r="B18" s="15">
        <v>17451945</v>
      </c>
      <c r="C18" s="15">
        <f>137073.45-58203</f>
        <v>78870.45000000001</v>
      </c>
      <c r="D18" s="15">
        <f t="shared" si="0"/>
        <v>15973942.55</v>
      </c>
      <c r="E18" s="15">
        <v>1399132</v>
      </c>
      <c r="F18" s="16">
        <v>940</v>
      </c>
      <c r="G18" s="15">
        <v>213</v>
      </c>
    </row>
    <row r="19" spans="1:7" ht="12.75">
      <c r="A19" s="22">
        <f t="shared" si="1"/>
        <v>42133</v>
      </c>
      <c r="B19" s="15">
        <v>15893912</v>
      </c>
      <c r="C19" s="15">
        <v>127318.06</v>
      </c>
      <c r="D19" s="15">
        <f t="shared" si="0"/>
        <v>14557504.94</v>
      </c>
      <c r="E19" s="15">
        <v>1209089</v>
      </c>
      <c r="F19" s="16">
        <v>940</v>
      </c>
      <c r="G19" s="15">
        <v>184</v>
      </c>
    </row>
    <row r="20" spans="1:7" ht="12.75">
      <c r="A20" s="22">
        <f t="shared" si="1"/>
        <v>42140</v>
      </c>
      <c r="B20" s="15">
        <v>17200303</v>
      </c>
      <c r="C20" s="15">
        <v>148382.23</v>
      </c>
      <c r="D20" s="15">
        <f t="shared" si="0"/>
        <v>15633579.77</v>
      </c>
      <c r="E20" s="15">
        <v>1418341</v>
      </c>
      <c r="F20" s="16">
        <v>940</v>
      </c>
      <c r="G20" s="15">
        <v>216</v>
      </c>
    </row>
    <row r="21" spans="1:7" ht="12.75">
      <c r="A21" s="22">
        <f t="shared" si="1"/>
        <v>42147</v>
      </c>
      <c r="B21" s="15">
        <v>16111499</v>
      </c>
      <c r="C21" s="15">
        <v>127870.05</v>
      </c>
      <c r="D21" s="15">
        <f t="shared" si="0"/>
        <v>14685558.95</v>
      </c>
      <c r="E21" s="15">
        <v>1298070</v>
      </c>
      <c r="F21" s="16">
        <v>940</v>
      </c>
      <c r="G21" s="15">
        <v>197</v>
      </c>
    </row>
    <row r="22" spans="1:7" ht="12.75">
      <c r="A22" s="22">
        <f t="shared" si="1"/>
        <v>42154</v>
      </c>
      <c r="B22" s="15">
        <v>15586418</v>
      </c>
      <c r="C22" s="15">
        <v>146411.93</v>
      </c>
      <c r="D22" s="15">
        <f t="shared" si="0"/>
        <v>14249509.07</v>
      </c>
      <c r="E22" s="15">
        <v>1190497</v>
      </c>
      <c r="F22" s="16">
        <v>940</v>
      </c>
      <c r="G22" s="15">
        <v>181</v>
      </c>
    </row>
    <row r="23" spans="1:7" ht="12.75">
      <c r="A23" s="22">
        <f t="shared" si="1"/>
        <v>42161</v>
      </c>
      <c r="B23" s="15">
        <v>16292801</v>
      </c>
      <c r="C23" s="15">
        <f>132752.25-27140</f>
        <v>105612.25</v>
      </c>
      <c r="D23" s="15">
        <f t="shared" si="0"/>
        <v>14940955.75</v>
      </c>
      <c r="E23" s="15">
        <v>1246233</v>
      </c>
      <c r="F23" s="16">
        <v>940</v>
      </c>
      <c r="G23" s="15">
        <v>189</v>
      </c>
    </row>
    <row r="24" spans="1:7" ht="12.75">
      <c r="A24" s="22">
        <f t="shared" si="1"/>
        <v>42168</v>
      </c>
      <c r="B24" s="15">
        <v>18185034</v>
      </c>
      <c r="C24" s="15">
        <f>210450.2-1070</f>
        <v>209380.2</v>
      </c>
      <c r="D24" s="15">
        <f t="shared" si="0"/>
        <v>16594779.8</v>
      </c>
      <c r="E24" s="15">
        <v>1380874</v>
      </c>
      <c r="F24" s="16">
        <v>940</v>
      </c>
      <c r="G24" s="15">
        <v>210</v>
      </c>
    </row>
    <row r="25" spans="1:7" ht="12.75">
      <c r="A25" s="22">
        <f t="shared" si="1"/>
        <v>42175</v>
      </c>
      <c r="B25" s="15">
        <v>16575585</v>
      </c>
      <c r="C25" s="15">
        <v>138404.25</v>
      </c>
      <c r="D25" s="15">
        <f t="shared" si="0"/>
        <v>15096261.75</v>
      </c>
      <c r="E25" s="15">
        <v>1340919</v>
      </c>
      <c r="F25" s="16">
        <v>940</v>
      </c>
      <c r="G25" s="15">
        <v>204</v>
      </c>
    </row>
    <row r="26" spans="1:7" ht="12.75">
      <c r="A26" s="22">
        <f t="shared" si="1"/>
        <v>42182</v>
      </c>
      <c r="B26" s="15">
        <v>15595012</v>
      </c>
      <c r="C26" s="15">
        <v>133600.11</v>
      </c>
      <c r="D26" s="15">
        <f t="shared" si="0"/>
        <v>14284115.89</v>
      </c>
      <c r="E26" s="15">
        <v>1177296</v>
      </c>
      <c r="F26" s="16">
        <v>940</v>
      </c>
      <c r="G26" s="15">
        <v>179</v>
      </c>
    </row>
    <row r="27" spans="1:7" ht="12.75">
      <c r="A27" s="22">
        <f t="shared" si="1"/>
        <v>42189</v>
      </c>
      <c r="B27" s="15">
        <v>18438886</v>
      </c>
      <c r="C27" s="15">
        <f>175074.75-56518</f>
        <v>118556.75</v>
      </c>
      <c r="D27" s="15">
        <f t="shared" si="0"/>
        <v>16832424.25</v>
      </c>
      <c r="E27" s="15">
        <v>1487905</v>
      </c>
      <c r="F27" s="16">
        <v>940</v>
      </c>
      <c r="G27" s="15">
        <v>226</v>
      </c>
    </row>
    <row r="28" spans="1:7" ht="12.75">
      <c r="A28" s="22">
        <f t="shared" si="1"/>
        <v>42196</v>
      </c>
      <c r="B28" s="15">
        <v>17120852</v>
      </c>
      <c r="C28" s="15">
        <v>184575.65</v>
      </c>
      <c r="D28" s="15">
        <f t="shared" si="0"/>
        <v>15671783.350000001</v>
      </c>
      <c r="E28" s="15">
        <v>1264493</v>
      </c>
      <c r="F28" s="16">
        <v>940</v>
      </c>
      <c r="G28" s="15">
        <v>192</v>
      </c>
    </row>
    <row r="29" spans="1:7" ht="12.75">
      <c r="A29" s="22">
        <f t="shared" si="1"/>
        <v>42203</v>
      </c>
      <c r="B29" s="15">
        <v>18954401</v>
      </c>
      <c r="C29" s="15">
        <v>166267.62</v>
      </c>
      <c r="D29" s="15">
        <f t="shared" si="0"/>
        <v>17346541.38</v>
      </c>
      <c r="E29" s="15">
        <v>1441592</v>
      </c>
      <c r="F29" s="16">
        <v>940</v>
      </c>
      <c r="G29" s="15">
        <v>219</v>
      </c>
    </row>
    <row r="30" spans="1:7" ht="12.75">
      <c r="A30" s="22">
        <f t="shared" si="1"/>
        <v>42210</v>
      </c>
      <c r="B30" s="15">
        <v>15956057</v>
      </c>
      <c r="C30" s="15">
        <v>195705.86</v>
      </c>
      <c r="D30" s="15">
        <f t="shared" si="0"/>
        <v>14538584.14</v>
      </c>
      <c r="E30" s="15">
        <v>1221767</v>
      </c>
      <c r="F30" s="16">
        <v>940</v>
      </c>
      <c r="G30" s="15">
        <v>186</v>
      </c>
    </row>
    <row r="31" spans="1:7" ht="12.75">
      <c r="A31" s="22">
        <f t="shared" si="1"/>
        <v>42217</v>
      </c>
      <c r="B31" s="15">
        <v>16910475</v>
      </c>
      <c r="C31" s="15">
        <f>167304.95-33875</f>
        <v>133429.95</v>
      </c>
      <c r="D31" s="15">
        <f t="shared" si="0"/>
        <v>15416992.05</v>
      </c>
      <c r="E31" s="15">
        <v>1360053</v>
      </c>
      <c r="F31" s="16">
        <v>940</v>
      </c>
      <c r="G31" s="15">
        <v>207</v>
      </c>
    </row>
    <row r="32" spans="1:7" ht="12.75">
      <c r="A32" s="22">
        <f t="shared" si="1"/>
        <v>42224</v>
      </c>
      <c r="B32" s="15">
        <v>17317575</v>
      </c>
      <c r="C32" s="15">
        <v>159879.18</v>
      </c>
      <c r="D32" s="15">
        <f t="shared" si="0"/>
        <v>15750698.82</v>
      </c>
      <c r="E32" s="15">
        <v>1406997</v>
      </c>
      <c r="F32" s="16">
        <v>940</v>
      </c>
      <c r="G32" s="15">
        <v>214</v>
      </c>
    </row>
    <row r="33" spans="1:7" ht="12.75">
      <c r="A33" s="22">
        <f t="shared" si="1"/>
        <v>42231</v>
      </c>
      <c r="B33" s="15">
        <v>13423467</v>
      </c>
      <c r="C33" s="15">
        <v>143267.89</v>
      </c>
      <c r="D33" s="15">
        <f t="shared" si="0"/>
        <v>12276780.11</v>
      </c>
      <c r="E33" s="15">
        <v>1003419</v>
      </c>
      <c r="F33" s="16">
        <v>940</v>
      </c>
      <c r="G33" s="15">
        <v>152</v>
      </c>
    </row>
    <row r="34" spans="1:7" ht="12.75">
      <c r="A34" s="22">
        <f t="shared" si="1"/>
        <v>42238</v>
      </c>
      <c r="B34" s="15">
        <v>11662673</v>
      </c>
      <c r="C34" s="15">
        <v>134125.57</v>
      </c>
      <c r="D34" s="15">
        <f t="shared" si="0"/>
        <v>10608774.43</v>
      </c>
      <c r="E34" s="15">
        <v>919773</v>
      </c>
      <c r="F34" s="16">
        <v>940</v>
      </c>
      <c r="G34" s="15">
        <v>140</v>
      </c>
    </row>
    <row r="35" spans="1:7" ht="12.75">
      <c r="A35" s="22">
        <f t="shared" si="1"/>
        <v>42245</v>
      </c>
      <c r="B35" s="15">
        <v>17859297</v>
      </c>
      <c r="C35" s="15">
        <v>234704.95</v>
      </c>
      <c r="D35" s="15">
        <f t="shared" si="0"/>
        <v>16316842.05</v>
      </c>
      <c r="E35" s="15">
        <v>1307750</v>
      </c>
      <c r="F35" s="16">
        <v>940</v>
      </c>
      <c r="G35" s="15">
        <v>199</v>
      </c>
    </row>
    <row r="36" spans="1:7" ht="12.75">
      <c r="A36" s="22">
        <f t="shared" si="1"/>
        <v>42252</v>
      </c>
      <c r="B36" s="15">
        <v>17109854</v>
      </c>
      <c r="C36" s="15">
        <f>182279.75-66538</f>
        <v>115741.75</v>
      </c>
      <c r="D36" s="15">
        <f t="shared" si="0"/>
        <v>15523569.25</v>
      </c>
      <c r="E36" s="15">
        <v>1470543</v>
      </c>
      <c r="F36" s="16">
        <v>940</v>
      </c>
      <c r="G36" s="15">
        <v>223</v>
      </c>
    </row>
    <row r="37" spans="1:7" ht="12.75">
      <c r="A37" s="22">
        <f t="shared" si="1"/>
        <v>42259</v>
      </c>
      <c r="B37" s="15">
        <v>17739969</v>
      </c>
      <c r="C37" s="15">
        <v>184545.98</v>
      </c>
      <c r="D37" s="15">
        <f t="shared" si="0"/>
        <v>16174741.02</v>
      </c>
      <c r="E37" s="15">
        <v>1380682</v>
      </c>
      <c r="F37" s="16">
        <v>940</v>
      </c>
      <c r="G37" s="15">
        <v>210</v>
      </c>
    </row>
    <row r="38" spans="1:7" ht="12.75">
      <c r="A38" s="22">
        <f t="shared" si="1"/>
        <v>42266</v>
      </c>
      <c r="B38" s="15">
        <v>14651076</v>
      </c>
      <c r="C38" s="15">
        <v>135909.54</v>
      </c>
      <c r="D38" s="15">
        <f t="shared" si="0"/>
        <v>13318408.46</v>
      </c>
      <c r="E38" s="15">
        <v>1196758</v>
      </c>
      <c r="F38" s="16">
        <v>940</v>
      </c>
      <c r="G38" s="15">
        <v>182</v>
      </c>
    </row>
    <row r="39" spans="1:7" ht="12.75">
      <c r="A39" s="22">
        <f t="shared" si="1"/>
        <v>42273</v>
      </c>
      <c r="B39" s="15">
        <v>14571352</v>
      </c>
      <c r="C39" s="15">
        <v>167800.52</v>
      </c>
      <c r="D39" s="15">
        <f t="shared" si="0"/>
        <v>13344052.48</v>
      </c>
      <c r="E39" s="15">
        <v>1059499</v>
      </c>
      <c r="F39" s="16">
        <v>940</v>
      </c>
      <c r="G39" s="15">
        <v>161</v>
      </c>
    </row>
    <row r="40" spans="1:7" ht="12.75">
      <c r="A40" s="22">
        <f t="shared" si="1"/>
        <v>42280</v>
      </c>
      <c r="B40" s="15">
        <v>15894738</v>
      </c>
      <c r="C40" s="15">
        <v>187303.98</v>
      </c>
      <c r="D40" s="15">
        <f t="shared" si="0"/>
        <v>14541628.02</v>
      </c>
      <c r="E40" s="15">
        <v>1165806</v>
      </c>
      <c r="F40" s="16">
        <v>940</v>
      </c>
      <c r="G40" s="15">
        <v>177</v>
      </c>
    </row>
    <row r="41" spans="1:7" ht="12.75">
      <c r="A41" s="22">
        <f t="shared" si="1"/>
        <v>42287</v>
      </c>
      <c r="B41" s="15">
        <v>14390574</v>
      </c>
      <c r="C41" s="15">
        <f>133570-62815</f>
        <v>70755</v>
      </c>
      <c r="D41" s="15">
        <f t="shared" si="0"/>
        <v>13133903</v>
      </c>
      <c r="E41" s="15">
        <v>1185916</v>
      </c>
      <c r="F41" s="16">
        <v>940</v>
      </c>
      <c r="G41" s="15">
        <v>180</v>
      </c>
    </row>
    <row r="42" spans="1:7" ht="12.75">
      <c r="A42" s="22">
        <f t="shared" si="1"/>
        <v>42294</v>
      </c>
      <c r="B42" s="15">
        <v>16502403</v>
      </c>
      <c r="C42" s="15">
        <v>217533.48</v>
      </c>
      <c r="D42" s="15">
        <f t="shared" si="0"/>
        <v>15062115.52</v>
      </c>
      <c r="E42" s="15">
        <v>1222754</v>
      </c>
      <c r="F42" s="16">
        <v>940</v>
      </c>
      <c r="G42" s="15">
        <v>186</v>
      </c>
    </row>
    <row r="43" spans="1:7" ht="12.75">
      <c r="A43" s="22">
        <f t="shared" si="1"/>
        <v>42301</v>
      </c>
      <c r="B43" s="15">
        <v>14965353</v>
      </c>
      <c r="C43" s="15">
        <v>164634</v>
      </c>
      <c r="D43" s="15">
        <f t="shared" si="0"/>
        <v>13814524</v>
      </c>
      <c r="E43" s="15">
        <v>986195</v>
      </c>
      <c r="F43" s="16">
        <v>940</v>
      </c>
      <c r="G43" s="15">
        <v>150</v>
      </c>
    </row>
    <row r="44" spans="1:7" ht="12.75">
      <c r="A44" s="22">
        <f t="shared" si="1"/>
        <v>42308</v>
      </c>
      <c r="B44" s="15">
        <v>15994065</v>
      </c>
      <c r="C44" s="15">
        <v>217303</v>
      </c>
      <c r="D44" s="15">
        <f t="shared" si="0"/>
        <v>14581975</v>
      </c>
      <c r="E44" s="15">
        <v>1194787</v>
      </c>
      <c r="F44" s="16">
        <v>940</v>
      </c>
      <c r="G44" s="15">
        <v>182</v>
      </c>
    </row>
    <row r="45" spans="1:7" ht="12.75">
      <c r="A45" s="22">
        <f t="shared" si="1"/>
        <v>42315</v>
      </c>
      <c r="B45" s="15">
        <v>16798648</v>
      </c>
      <c r="C45" s="15">
        <f>169952.59-66611</f>
        <v>103341.59</v>
      </c>
      <c r="D45" s="15">
        <f t="shared" si="0"/>
        <v>15346932.41</v>
      </c>
      <c r="E45" s="15">
        <v>1348374</v>
      </c>
      <c r="F45" s="16">
        <v>940</v>
      </c>
      <c r="G45" s="15">
        <v>205</v>
      </c>
    </row>
    <row r="46" spans="1:7" ht="12.75">
      <c r="A46" s="22">
        <f t="shared" si="1"/>
        <v>42322</v>
      </c>
      <c r="B46" s="15">
        <v>14724428</v>
      </c>
      <c r="C46" s="15">
        <v>160811.48</v>
      </c>
      <c r="D46" s="15">
        <f t="shared" si="0"/>
        <v>13476362.52</v>
      </c>
      <c r="E46" s="15">
        <v>1087254</v>
      </c>
      <c r="F46" s="16">
        <v>940</v>
      </c>
      <c r="G46" s="15">
        <v>165</v>
      </c>
    </row>
    <row r="47" spans="1:7" ht="12.75">
      <c r="A47" s="22">
        <f t="shared" si="1"/>
        <v>42329</v>
      </c>
      <c r="B47" s="15">
        <v>15842154</v>
      </c>
      <c r="C47" s="15">
        <v>166751</v>
      </c>
      <c r="D47" s="15">
        <f t="shared" si="0"/>
        <v>14496945</v>
      </c>
      <c r="E47" s="15">
        <v>1178458</v>
      </c>
      <c r="F47" s="16">
        <v>940</v>
      </c>
      <c r="G47" s="15">
        <v>179</v>
      </c>
    </row>
    <row r="48" spans="1:7" ht="12.75">
      <c r="A48" s="22">
        <f t="shared" si="1"/>
        <v>42336</v>
      </c>
      <c r="B48" s="15">
        <v>15446517</v>
      </c>
      <c r="C48" s="15">
        <v>190674.6</v>
      </c>
      <c r="D48" s="15">
        <f t="shared" si="0"/>
        <v>14132789.4</v>
      </c>
      <c r="E48" s="15">
        <v>1123053</v>
      </c>
      <c r="F48" s="16">
        <v>940</v>
      </c>
      <c r="G48" s="15">
        <v>171</v>
      </c>
    </row>
    <row r="49" spans="1:7" ht="12.75">
      <c r="A49" s="22">
        <f t="shared" si="1"/>
        <v>42343</v>
      </c>
      <c r="B49" s="15">
        <v>16397283</v>
      </c>
      <c r="C49" s="15">
        <v>160364.87</v>
      </c>
      <c r="D49" s="15">
        <f t="shared" si="0"/>
        <v>14909860.13</v>
      </c>
      <c r="E49" s="15">
        <v>1327058</v>
      </c>
      <c r="F49" s="16">
        <v>940</v>
      </c>
      <c r="G49" s="15">
        <v>202</v>
      </c>
    </row>
    <row r="50" spans="1:7" ht="12.75">
      <c r="A50" s="22">
        <f t="shared" si="1"/>
        <v>42350</v>
      </c>
      <c r="B50" s="15">
        <v>14696399</v>
      </c>
      <c r="C50" s="15">
        <v>149886.12</v>
      </c>
      <c r="D50" s="15">
        <f t="shared" si="0"/>
        <v>13433665.88</v>
      </c>
      <c r="E50" s="15">
        <v>1112847</v>
      </c>
      <c r="F50" s="16">
        <f>6580/7</f>
        <v>940</v>
      </c>
      <c r="G50" s="15">
        <v>169</v>
      </c>
    </row>
    <row r="51" spans="1:7" ht="12.75">
      <c r="A51" s="22">
        <f t="shared" si="1"/>
        <v>42357</v>
      </c>
      <c r="B51" s="15">
        <v>13169983</v>
      </c>
      <c r="C51" s="15">
        <v>147199.09</v>
      </c>
      <c r="D51" s="15">
        <f t="shared" si="0"/>
        <v>12037644.91</v>
      </c>
      <c r="E51" s="15">
        <v>985139</v>
      </c>
      <c r="F51" s="16">
        <v>940</v>
      </c>
      <c r="G51" s="15">
        <v>150</v>
      </c>
    </row>
    <row r="52" spans="1:7" ht="12.75">
      <c r="A52" s="22">
        <f t="shared" si="1"/>
        <v>42364</v>
      </c>
      <c r="B52" s="15">
        <v>14470849</v>
      </c>
      <c r="C52" s="15">
        <v>142768.4</v>
      </c>
      <c r="D52" s="15">
        <f t="shared" si="0"/>
        <v>13226448.6</v>
      </c>
      <c r="E52" s="15">
        <v>1101632</v>
      </c>
      <c r="F52" s="16">
        <f>6580/7</f>
        <v>940</v>
      </c>
      <c r="G52" s="15">
        <v>167</v>
      </c>
    </row>
    <row r="53" spans="1:7" ht="12.75">
      <c r="A53" s="22">
        <f t="shared" si="1"/>
        <v>42371</v>
      </c>
      <c r="B53" s="15">
        <v>20323475</v>
      </c>
      <c r="C53" s="15">
        <v>241968.27</v>
      </c>
      <c r="D53" s="15">
        <f t="shared" si="0"/>
        <v>18519947.73</v>
      </c>
      <c r="E53" s="15">
        <v>1561559</v>
      </c>
      <c r="F53" s="16">
        <v>940</v>
      </c>
      <c r="G53" s="15">
        <v>237</v>
      </c>
    </row>
    <row r="54" spans="1:7" ht="12.75">
      <c r="A54" s="22">
        <f t="shared" si="1"/>
        <v>42378</v>
      </c>
      <c r="B54" s="15">
        <v>14729737</v>
      </c>
      <c r="C54" s="15">
        <f>136065.36-30478</f>
        <v>105587.35999999999</v>
      </c>
      <c r="D54" s="15">
        <f t="shared" si="0"/>
        <v>13495390.64</v>
      </c>
      <c r="E54" s="15">
        <v>1128759</v>
      </c>
      <c r="F54" s="16">
        <v>940</v>
      </c>
      <c r="G54" s="15">
        <v>172</v>
      </c>
    </row>
    <row r="55" spans="1:7" ht="12.75">
      <c r="A55" s="22">
        <f t="shared" si="1"/>
        <v>42385</v>
      </c>
      <c r="B55" s="15">
        <v>12361568</v>
      </c>
      <c r="C55" s="15">
        <v>143007.66</v>
      </c>
      <c r="D55" s="15">
        <f t="shared" si="0"/>
        <v>11327001.34</v>
      </c>
      <c r="E55" s="15">
        <v>891559</v>
      </c>
      <c r="F55" s="16">
        <v>940</v>
      </c>
      <c r="G55" s="15">
        <v>135</v>
      </c>
    </row>
    <row r="56" spans="1:7" ht="12.75">
      <c r="A56" s="22">
        <f t="shared" si="1"/>
        <v>42392</v>
      </c>
      <c r="B56" s="15">
        <v>13623631</v>
      </c>
      <c r="C56" s="15">
        <v>156787.28</v>
      </c>
      <c r="D56" s="15">
        <f t="shared" si="0"/>
        <v>12397667.72</v>
      </c>
      <c r="E56" s="15">
        <v>1069176</v>
      </c>
      <c r="F56" s="16">
        <v>940</v>
      </c>
      <c r="G56" s="15">
        <v>162</v>
      </c>
    </row>
    <row r="57" spans="1:7" ht="12.75">
      <c r="A57" s="22">
        <f t="shared" si="1"/>
        <v>42399</v>
      </c>
      <c r="B57" s="15">
        <v>15842925</v>
      </c>
      <c r="C57" s="15">
        <v>193635.66</v>
      </c>
      <c r="D57" s="15">
        <f t="shared" si="0"/>
        <v>14452566.34</v>
      </c>
      <c r="E57" s="15">
        <v>1196723</v>
      </c>
      <c r="F57" s="16">
        <v>940</v>
      </c>
      <c r="G57" s="15">
        <v>182</v>
      </c>
    </row>
    <row r="58" spans="1:7" ht="12.75">
      <c r="A58" s="22">
        <f t="shared" si="1"/>
        <v>42406</v>
      </c>
      <c r="B58" s="15">
        <v>16434803</v>
      </c>
      <c r="C58" s="15">
        <f>159794.15-43509</f>
        <v>116285.15</v>
      </c>
      <c r="D58" s="15">
        <f t="shared" si="0"/>
        <v>15015351.85</v>
      </c>
      <c r="E58" s="15">
        <v>1303166</v>
      </c>
      <c r="F58" s="16">
        <v>940</v>
      </c>
      <c r="G58" s="15">
        <v>198</v>
      </c>
    </row>
    <row r="59" spans="1:7" ht="12.75">
      <c r="A59" s="22">
        <f t="shared" si="1"/>
        <v>42413</v>
      </c>
      <c r="B59" s="15">
        <v>12943612</v>
      </c>
      <c r="C59" s="15">
        <v>107866.68</v>
      </c>
      <c r="D59" s="15">
        <f t="shared" si="0"/>
        <v>11767799.32</v>
      </c>
      <c r="E59" s="15">
        <v>1067946</v>
      </c>
      <c r="F59" s="16">
        <v>940</v>
      </c>
      <c r="G59" s="15">
        <v>162</v>
      </c>
    </row>
    <row r="60" spans="1:7" ht="12.75">
      <c r="A60" s="22">
        <f t="shared" si="1"/>
        <v>42420</v>
      </c>
      <c r="B60" s="15">
        <v>16906390</v>
      </c>
      <c r="C60" s="15">
        <v>159336.69</v>
      </c>
      <c r="D60" s="15">
        <f t="shared" si="0"/>
        <v>15433255.31</v>
      </c>
      <c r="E60" s="15">
        <v>1313798</v>
      </c>
      <c r="F60" s="16">
        <v>940</v>
      </c>
      <c r="G60" s="15">
        <v>200</v>
      </c>
    </row>
    <row r="61" spans="1:7" ht="12.75">
      <c r="A61" s="22">
        <f t="shared" si="1"/>
        <v>42427</v>
      </c>
      <c r="B61" s="15">
        <v>16763737</v>
      </c>
      <c r="C61" s="15">
        <v>151692.55</v>
      </c>
      <c r="D61" s="15">
        <f t="shared" si="0"/>
        <v>15340376.45</v>
      </c>
      <c r="E61" s="15">
        <v>1271668</v>
      </c>
      <c r="F61" s="16">
        <v>940</v>
      </c>
      <c r="G61" s="15">
        <v>193</v>
      </c>
    </row>
    <row r="62" spans="1:7" ht="12.75">
      <c r="A62" s="22">
        <f t="shared" si="1"/>
        <v>42434</v>
      </c>
      <c r="B62" s="15">
        <v>20216359</v>
      </c>
      <c r="C62" s="15">
        <f>226995.1-33967</f>
        <v>193028.1</v>
      </c>
      <c r="D62" s="15">
        <f t="shared" si="0"/>
        <v>18426359.9</v>
      </c>
      <c r="E62" s="15">
        <v>1596971</v>
      </c>
      <c r="F62" s="16">
        <v>940</v>
      </c>
      <c r="G62" s="15">
        <v>243</v>
      </c>
    </row>
    <row r="63" spans="1:7" ht="12.75">
      <c r="A63" s="22">
        <f t="shared" si="1"/>
        <v>42441</v>
      </c>
      <c r="B63" s="15">
        <v>17720986</v>
      </c>
      <c r="C63" s="15">
        <v>152528.21</v>
      </c>
      <c r="D63" s="15">
        <f t="shared" si="0"/>
        <v>16188197.79</v>
      </c>
      <c r="E63" s="15">
        <v>1380260</v>
      </c>
      <c r="F63" s="16">
        <v>940</v>
      </c>
      <c r="G63" s="15">
        <v>210</v>
      </c>
    </row>
    <row r="64" spans="1:7" ht="12.75">
      <c r="A64" s="22">
        <f t="shared" si="1"/>
        <v>42448</v>
      </c>
      <c r="B64" s="15">
        <v>18822079</v>
      </c>
      <c r="C64" s="15">
        <v>182021.59</v>
      </c>
      <c r="D64" s="15">
        <f t="shared" si="0"/>
        <v>17224038.41</v>
      </c>
      <c r="E64" s="15">
        <v>1416019</v>
      </c>
      <c r="F64" s="16">
        <v>940</v>
      </c>
      <c r="G64" s="15">
        <v>215</v>
      </c>
    </row>
    <row r="65" spans="1:7" ht="12.75">
      <c r="A65" s="22">
        <f t="shared" si="1"/>
        <v>42455</v>
      </c>
      <c r="B65" s="15">
        <v>16676206</v>
      </c>
      <c r="C65" s="15">
        <v>153634.17</v>
      </c>
      <c r="D65" s="15">
        <f t="shared" si="0"/>
        <v>15250656.83</v>
      </c>
      <c r="E65" s="15">
        <v>1271915</v>
      </c>
      <c r="F65" s="16">
        <v>940</v>
      </c>
      <c r="G65" s="15">
        <v>193</v>
      </c>
    </row>
    <row r="67" spans="1:7" ht="13.5" thickBot="1">
      <c r="A67" s="22" t="s">
        <v>8</v>
      </c>
      <c r="B67" s="17">
        <f>SUM(B13:B65)</f>
        <v>860030133</v>
      </c>
      <c r="C67" s="17">
        <f>SUM(C13:C65)</f>
        <v>8127837.530000001</v>
      </c>
      <c r="D67" s="17">
        <f>SUM(D13:D65)</f>
        <v>785191899.47</v>
      </c>
      <c r="E67" s="17">
        <f>SUM(E13:E65)</f>
        <v>66710396</v>
      </c>
      <c r="F67" s="24">
        <f>SUM(F13:F66)/COUNT(F13:F66)</f>
        <v>940</v>
      </c>
      <c r="G67" s="17">
        <f>+E67/SUM(F13:F66)/7</f>
        <v>191.28977461719333</v>
      </c>
    </row>
    <row r="68" spans="1:5" s="21" customFormat="1" ht="13.5" thickTop="1">
      <c r="A68" s="22"/>
      <c r="B68" s="20"/>
      <c r="C68" s="20"/>
      <c r="D68" s="20"/>
      <c r="E68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ySplit="11" topLeftCell="A34" activePane="bottomLeft" state="frozen"/>
      <selection pane="topLeft" activeCell="A1" sqref="A1"/>
      <selection pane="bottomLeft" activeCell="D35" sqref="D35"/>
    </sheetView>
  </sheetViews>
  <sheetFormatPr defaultColWidth="9.140625" defaultRowHeight="12.75"/>
  <cols>
    <col min="1" max="1" width="15.7109375" style="22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0" s="26" customFormat="1" ht="18">
      <c r="A1" s="42" t="s">
        <v>30</v>
      </c>
      <c r="B1" s="42"/>
      <c r="C1" s="42"/>
      <c r="D1" s="42"/>
      <c r="E1" s="42"/>
      <c r="F1" s="42"/>
      <c r="G1" s="42"/>
      <c r="H1" s="28"/>
      <c r="I1" s="28"/>
      <c r="J1" s="28"/>
    </row>
    <row r="2" spans="1:10" s="26" customFormat="1" ht="15">
      <c r="A2" s="43" t="s">
        <v>19</v>
      </c>
      <c r="B2" s="43"/>
      <c r="C2" s="43"/>
      <c r="D2" s="43"/>
      <c r="E2" s="43"/>
      <c r="F2" s="43"/>
      <c r="G2" s="43"/>
      <c r="H2" s="29"/>
      <c r="I2" s="29"/>
      <c r="J2" s="29"/>
    </row>
    <row r="3" spans="1:10" s="27" customFormat="1" ht="15">
      <c r="A3" s="43" t="s">
        <v>20</v>
      </c>
      <c r="B3" s="43"/>
      <c r="C3" s="43"/>
      <c r="D3" s="43"/>
      <c r="E3" s="43"/>
      <c r="F3" s="43"/>
      <c r="G3" s="43"/>
      <c r="H3" s="29"/>
      <c r="I3" s="29"/>
      <c r="J3" s="29"/>
    </row>
    <row r="4" spans="1:10" s="27" customFormat="1" ht="14.25">
      <c r="A4" s="44" t="s">
        <v>21</v>
      </c>
      <c r="B4" s="44"/>
      <c r="C4" s="44"/>
      <c r="D4" s="44"/>
      <c r="E4" s="44"/>
      <c r="F4" s="44"/>
      <c r="G4" s="44"/>
      <c r="H4" s="32"/>
      <c r="I4" s="30"/>
      <c r="J4" s="30"/>
    </row>
    <row r="5" spans="1:10" s="27" customFormat="1" ht="14.25">
      <c r="A5" s="45" t="s">
        <v>22</v>
      </c>
      <c r="B5" s="45"/>
      <c r="C5" s="45"/>
      <c r="D5" s="45"/>
      <c r="E5" s="45"/>
      <c r="F5" s="45"/>
      <c r="G5" s="45"/>
      <c r="H5" s="31"/>
      <c r="I5" s="31"/>
      <c r="J5" s="31"/>
    </row>
    <row r="6" spans="1:7" s="1" customFormat="1" ht="14.25">
      <c r="A6" s="33"/>
      <c r="B6" s="2"/>
      <c r="C6" s="2"/>
      <c r="D6" s="2"/>
      <c r="E6" s="2"/>
      <c r="F6" s="2"/>
      <c r="G6" s="2"/>
    </row>
    <row r="7" spans="1:7" s="1" customFormat="1" ht="12.75">
      <c r="A7" s="22"/>
      <c r="B7" s="4"/>
      <c r="C7" s="4"/>
      <c r="D7" s="4"/>
      <c r="E7" s="5"/>
      <c r="F7" s="6"/>
      <c r="G7" s="5"/>
    </row>
    <row r="8" spans="1:7" s="7" customFormat="1" ht="14.25" customHeight="1">
      <c r="A8" s="46" t="s">
        <v>31</v>
      </c>
      <c r="B8" s="47"/>
      <c r="C8" s="47"/>
      <c r="D8" s="47"/>
      <c r="E8" s="47"/>
      <c r="F8" s="47"/>
      <c r="G8" s="48"/>
    </row>
    <row r="9" spans="1:7" s="1" customFormat="1" ht="9" customHeight="1">
      <c r="A9" s="22"/>
      <c r="B9" s="4"/>
      <c r="C9" s="4"/>
      <c r="D9" s="4"/>
      <c r="E9" s="5"/>
      <c r="F9" s="6"/>
      <c r="G9" s="5"/>
    </row>
    <row r="10" spans="1:7" s="12" customFormat="1" ht="12">
      <c r="A10" s="34"/>
      <c r="B10" s="10" t="s">
        <v>0</v>
      </c>
      <c r="C10" s="10" t="s">
        <v>26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35" t="s">
        <v>11</v>
      </c>
      <c r="B11" s="8" t="s">
        <v>3</v>
      </c>
      <c r="C11" s="8" t="s">
        <v>28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41727</v>
      </c>
      <c r="B13" s="15">
        <v>17226908.94</v>
      </c>
      <c r="C13" s="15">
        <f>158424.94-14977</f>
        <v>143447.94</v>
      </c>
      <c r="D13" s="15">
        <f aca="true" t="shared" si="0" ref="D13:D64">+B13-C13-E13</f>
        <v>15798414</v>
      </c>
      <c r="E13" s="15">
        <v>1285047</v>
      </c>
      <c r="F13" s="16">
        <v>940</v>
      </c>
      <c r="G13" s="15">
        <v>195</v>
      </c>
    </row>
    <row r="14" spans="1:7" ht="12.75">
      <c r="A14" s="22">
        <f aca="true" t="shared" si="1" ref="A14:A64">+A13+7</f>
        <v>41734</v>
      </c>
      <c r="B14" s="15">
        <v>18201915.75</v>
      </c>
      <c r="C14" s="15">
        <v>112634.75</v>
      </c>
      <c r="D14" s="15">
        <f t="shared" si="0"/>
        <v>16547014</v>
      </c>
      <c r="E14" s="15">
        <v>1542267</v>
      </c>
      <c r="F14" s="16">
        <v>940</v>
      </c>
      <c r="G14" s="15">
        <v>234</v>
      </c>
    </row>
    <row r="15" spans="1:7" ht="12.75">
      <c r="A15" s="22">
        <f t="shared" si="1"/>
        <v>41741</v>
      </c>
      <c r="B15" s="15">
        <v>15775914.6</v>
      </c>
      <c r="C15" s="15">
        <v>98250.6</v>
      </c>
      <c r="D15" s="15">
        <f t="shared" si="0"/>
        <v>14375910</v>
      </c>
      <c r="E15" s="15">
        <v>1301754</v>
      </c>
      <c r="F15" s="16">
        <v>940</v>
      </c>
      <c r="G15" s="15">
        <v>198</v>
      </c>
    </row>
    <row r="16" spans="1:7" ht="12.75">
      <c r="A16" s="22">
        <f t="shared" si="1"/>
        <v>41748</v>
      </c>
      <c r="B16" s="15">
        <v>18553965.81</v>
      </c>
      <c r="C16" s="15">
        <v>108381.81</v>
      </c>
      <c r="D16" s="15">
        <f t="shared" si="0"/>
        <v>16971236</v>
      </c>
      <c r="E16" s="15">
        <v>1474348</v>
      </c>
      <c r="F16" s="16">
        <v>940</v>
      </c>
      <c r="G16" s="15">
        <v>224</v>
      </c>
    </row>
    <row r="17" spans="1:7" ht="12.75">
      <c r="A17" s="22">
        <f t="shared" si="1"/>
        <v>41755</v>
      </c>
      <c r="B17" s="15">
        <v>16710545.03</v>
      </c>
      <c r="C17" s="15">
        <v>106171.03</v>
      </c>
      <c r="D17" s="15">
        <f t="shared" si="0"/>
        <v>15162707</v>
      </c>
      <c r="E17" s="15">
        <v>1441667</v>
      </c>
      <c r="F17" s="16">
        <v>940</v>
      </c>
      <c r="G17" s="15">
        <v>219</v>
      </c>
    </row>
    <row r="18" spans="1:7" ht="12.75">
      <c r="A18" s="22">
        <f t="shared" si="1"/>
        <v>41762</v>
      </c>
      <c r="B18" s="15">
        <v>17458195.06</v>
      </c>
      <c r="C18" s="15">
        <v>112351.06</v>
      </c>
      <c r="D18" s="15">
        <f t="shared" si="0"/>
        <v>15936760</v>
      </c>
      <c r="E18" s="15">
        <v>1409084</v>
      </c>
      <c r="F18" s="16">
        <v>940</v>
      </c>
      <c r="G18" s="15">
        <v>214</v>
      </c>
    </row>
    <row r="19" spans="1:7" ht="12.75">
      <c r="A19" s="22">
        <f t="shared" si="1"/>
        <v>41769</v>
      </c>
      <c r="B19" s="15">
        <v>16637635.16</v>
      </c>
      <c r="C19" s="15">
        <v>137993.16</v>
      </c>
      <c r="D19" s="15">
        <f t="shared" si="0"/>
        <v>15158298</v>
      </c>
      <c r="E19" s="15">
        <v>1341344</v>
      </c>
      <c r="F19" s="16">
        <v>940</v>
      </c>
      <c r="G19" s="15">
        <v>204</v>
      </c>
    </row>
    <row r="20" spans="1:7" ht="12.75">
      <c r="A20" s="22">
        <f t="shared" si="1"/>
        <v>41776</v>
      </c>
      <c r="B20" s="15">
        <v>16613836.2</v>
      </c>
      <c r="C20" s="15">
        <f>131936.2-47942</f>
        <v>83994.20000000001</v>
      </c>
      <c r="D20" s="15">
        <f t="shared" si="0"/>
        <v>15165714</v>
      </c>
      <c r="E20" s="15">
        <v>1364128</v>
      </c>
      <c r="F20" s="16">
        <v>940</v>
      </c>
      <c r="G20" s="15">
        <v>207</v>
      </c>
    </row>
    <row r="21" spans="1:7" ht="12.75">
      <c r="A21" s="22">
        <f t="shared" si="1"/>
        <v>41783</v>
      </c>
      <c r="B21" s="15">
        <v>16946059.87</v>
      </c>
      <c r="C21" s="15">
        <v>126478.87</v>
      </c>
      <c r="D21" s="15">
        <f t="shared" si="0"/>
        <v>15490814</v>
      </c>
      <c r="E21" s="15">
        <v>1328767</v>
      </c>
      <c r="F21" s="16">
        <v>940</v>
      </c>
      <c r="G21" s="15">
        <v>202</v>
      </c>
    </row>
    <row r="22" spans="1:7" ht="12.75">
      <c r="A22" s="22">
        <f t="shared" si="1"/>
        <v>41790</v>
      </c>
      <c r="B22" s="15">
        <v>15896984.79</v>
      </c>
      <c r="C22" s="15">
        <v>118131.79</v>
      </c>
      <c r="D22" s="15">
        <f t="shared" si="0"/>
        <v>14453166</v>
      </c>
      <c r="E22" s="15">
        <v>1325687</v>
      </c>
      <c r="F22" s="16">
        <v>940</v>
      </c>
      <c r="G22" s="15">
        <v>201</v>
      </c>
    </row>
    <row r="23" spans="1:7" ht="12.75">
      <c r="A23" s="22">
        <f t="shared" si="1"/>
        <v>41797</v>
      </c>
      <c r="B23" s="15">
        <v>16389984.1</v>
      </c>
      <c r="C23" s="15">
        <v>127962.1</v>
      </c>
      <c r="D23" s="15">
        <f t="shared" si="0"/>
        <v>14964338</v>
      </c>
      <c r="E23" s="15">
        <v>1297684</v>
      </c>
      <c r="F23" s="16">
        <v>940</v>
      </c>
      <c r="G23" s="15">
        <v>197</v>
      </c>
    </row>
    <row r="24" spans="1:7" ht="12.75">
      <c r="A24" s="22">
        <f t="shared" si="1"/>
        <v>41804</v>
      </c>
      <c r="B24" s="15">
        <v>17813963.02</v>
      </c>
      <c r="C24" s="15">
        <v>127874.02</v>
      </c>
      <c r="D24" s="15">
        <f t="shared" si="0"/>
        <v>16272740</v>
      </c>
      <c r="E24" s="15">
        <v>1413349</v>
      </c>
      <c r="F24" s="16">
        <v>940</v>
      </c>
      <c r="G24" s="15">
        <v>215</v>
      </c>
    </row>
    <row r="25" spans="1:7" ht="12.75">
      <c r="A25" s="22">
        <f t="shared" si="1"/>
        <v>41811</v>
      </c>
      <c r="B25" s="15">
        <v>15262398.15</v>
      </c>
      <c r="C25" s="15">
        <v>116755.15</v>
      </c>
      <c r="D25" s="15">
        <f t="shared" si="0"/>
        <v>13949452</v>
      </c>
      <c r="E25" s="15">
        <v>1196191</v>
      </c>
      <c r="F25" s="16">
        <v>940</v>
      </c>
      <c r="G25" s="15">
        <v>182</v>
      </c>
    </row>
    <row r="26" spans="1:7" ht="12.75">
      <c r="A26" s="22">
        <f t="shared" si="1"/>
        <v>41818</v>
      </c>
      <c r="B26" s="15">
        <v>14686918.34</v>
      </c>
      <c r="C26" s="15">
        <f>106376.34-37295</f>
        <v>69081.34</v>
      </c>
      <c r="D26" s="15">
        <f t="shared" si="0"/>
        <v>13363310</v>
      </c>
      <c r="E26" s="15">
        <v>1254527</v>
      </c>
      <c r="F26" s="16">
        <v>940</v>
      </c>
      <c r="G26" s="15">
        <v>191</v>
      </c>
    </row>
    <row r="27" spans="1:7" ht="12.75">
      <c r="A27" s="22">
        <f t="shared" si="1"/>
        <v>41825</v>
      </c>
      <c r="B27" s="15">
        <v>17251694.31</v>
      </c>
      <c r="C27" s="15">
        <v>114098.31</v>
      </c>
      <c r="D27" s="15">
        <f t="shared" si="0"/>
        <v>15796324</v>
      </c>
      <c r="E27" s="15">
        <v>1341272</v>
      </c>
      <c r="F27" s="16">
        <v>940</v>
      </c>
      <c r="G27" s="15">
        <v>204</v>
      </c>
    </row>
    <row r="28" spans="1:7" ht="12.75">
      <c r="A28" s="22">
        <f t="shared" si="1"/>
        <v>41832</v>
      </c>
      <c r="B28" s="15">
        <v>16819138</v>
      </c>
      <c r="C28" s="15">
        <f>115234-44200</f>
        <v>71034</v>
      </c>
      <c r="D28" s="15">
        <f t="shared" si="0"/>
        <v>15341898</v>
      </c>
      <c r="E28" s="15">
        <v>1406206</v>
      </c>
      <c r="F28" s="16">
        <v>940</v>
      </c>
      <c r="G28" s="15">
        <v>214</v>
      </c>
    </row>
    <row r="29" spans="1:7" ht="12.75">
      <c r="A29" s="22">
        <f t="shared" si="1"/>
        <v>41839</v>
      </c>
      <c r="B29" s="15">
        <v>16738485.72</v>
      </c>
      <c r="C29" s="15">
        <v>114421.72</v>
      </c>
      <c r="D29" s="15">
        <f t="shared" si="0"/>
        <v>15326188</v>
      </c>
      <c r="E29" s="15">
        <v>1297876</v>
      </c>
      <c r="F29" s="16">
        <v>940</v>
      </c>
      <c r="G29" s="15">
        <v>197</v>
      </c>
    </row>
    <row r="30" spans="1:7" ht="12.75">
      <c r="A30" s="22">
        <f t="shared" si="1"/>
        <v>41846</v>
      </c>
      <c r="B30" s="15">
        <v>17283977.47</v>
      </c>
      <c r="C30" s="15">
        <v>186691.47</v>
      </c>
      <c r="D30" s="15">
        <f t="shared" si="0"/>
        <v>15851389</v>
      </c>
      <c r="E30" s="15">
        <v>1245897</v>
      </c>
      <c r="F30" s="16">
        <v>940</v>
      </c>
      <c r="G30" s="15">
        <v>189</v>
      </c>
    </row>
    <row r="31" spans="1:7" ht="12.75">
      <c r="A31" s="22">
        <f t="shared" si="1"/>
        <v>41853</v>
      </c>
      <c r="B31" s="15">
        <v>16116379</v>
      </c>
      <c r="C31" s="15">
        <v>120398</v>
      </c>
      <c r="D31" s="15">
        <f t="shared" si="0"/>
        <v>14776291</v>
      </c>
      <c r="E31" s="15">
        <v>1219690</v>
      </c>
      <c r="F31" s="16">
        <v>940</v>
      </c>
      <c r="G31" s="15">
        <v>185</v>
      </c>
    </row>
    <row r="32" spans="1:7" ht="12.75">
      <c r="A32" s="22">
        <f t="shared" si="1"/>
        <v>41860</v>
      </c>
      <c r="B32" s="15">
        <v>12076036.36</v>
      </c>
      <c r="C32" s="15">
        <f>85680.36-14424</f>
        <v>71256.36</v>
      </c>
      <c r="D32" s="15">
        <f t="shared" si="0"/>
        <v>11007619</v>
      </c>
      <c r="E32" s="15">
        <v>997161</v>
      </c>
      <c r="F32" s="16">
        <v>940</v>
      </c>
      <c r="G32" s="15">
        <v>152</v>
      </c>
    </row>
    <row r="33" spans="1:7" ht="12.75">
      <c r="A33" s="22">
        <f t="shared" si="1"/>
        <v>41867</v>
      </c>
      <c r="B33" s="15">
        <v>10136270.05</v>
      </c>
      <c r="C33" s="15">
        <v>61865.05</v>
      </c>
      <c r="D33" s="15">
        <f t="shared" si="0"/>
        <v>9230202</v>
      </c>
      <c r="E33" s="15">
        <v>844203</v>
      </c>
      <c r="F33" s="16">
        <v>940</v>
      </c>
      <c r="G33" s="15">
        <v>128</v>
      </c>
    </row>
    <row r="34" spans="1:7" ht="12.75">
      <c r="A34" s="22">
        <f t="shared" si="1"/>
        <v>41874</v>
      </c>
      <c r="B34" s="15">
        <v>15594604.91</v>
      </c>
      <c r="C34" s="15">
        <v>143331.91</v>
      </c>
      <c r="D34" s="15">
        <f t="shared" si="0"/>
        <v>14179916</v>
      </c>
      <c r="E34" s="15">
        <v>1271357</v>
      </c>
      <c r="F34" s="16">
        <v>940</v>
      </c>
      <c r="G34" s="15">
        <v>193</v>
      </c>
    </row>
    <row r="35" spans="1:7" ht="12.75">
      <c r="A35" s="22">
        <f t="shared" si="1"/>
        <v>41881</v>
      </c>
      <c r="B35" s="15">
        <v>17776736.26</v>
      </c>
      <c r="C35" s="15">
        <f>188256.26-12321</f>
        <v>175935.26</v>
      </c>
      <c r="D35" s="15">
        <f t="shared" si="0"/>
        <v>16291963</v>
      </c>
      <c r="E35" s="15">
        <v>1308838</v>
      </c>
      <c r="F35" s="16">
        <v>940</v>
      </c>
      <c r="G35" s="15">
        <v>199</v>
      </c>
    </row>
    <row r="36" spans="1:7" ht="12.75">
      <c r="A36" s="22">
        <f t="shared" si="1"/>
        <v>41888</v>
      </c>
      <c r="B36" s="15">
        <v>16482140.57</v>
      </c>
      <c r="C36" s="15">
        <v>98325.57</v>
      </c>
      <c r="D36" s="15">
        <f t="shared" si="0"/>
        <v>15007513</v>
      </c>
      <c r="E36" s="15">
        <v>1376302</v>
      </c>
      <c r="F36" s="16">
        <v>940</v>
      </c>
      <c r="G36" s="15">
        <v>209</v>
      </c>
    </row>
    <row r="37" spans="1:7" ht="12.75">
      <c r="A37" s="22">
        <f t="shared" si="1"/>
        <v>41895</v>
      </c>
      <c r="B37" s="15">
        <v>15216786.76</v>
      </c>
      <c r="C37" s="15">
        <v>100768.76</v>
      </c>
      <c r="D37" s="15">
        <f t="shared" si="0"/>
        <v>13925594</v>
      </c>
      <c r="E37" s="15">
        <v>1190424</v>
      </c>
      <c r="F37" s="16">
        <v>940</v>
      </c>
      <c r="G37" s="15">
        <v>181</v>
      </c>
    </row>
    <row r="38" spans="1:7" ht="12.75">
      <c r="A38" s="22">
        <f t="shared" si="1"/>
        <v>41902</v>
      </c>
      <c r="B38" s="15">
        <v>15373014.37</v>
      </c>
      <c r="C38" s="15">
        <v>108504.37</v>
      </c>
      <c r="D38" s="15">
        <f t="shared" si="0"/>
        <v>14098446</v>
      </c>
      <c r="E38" s="15">
        <v>1166064</v>
      </c>
      <c r="F38" s="16">
        <v>940</v>
      </c>
      <c r="G38" s="15">
        <v>177</v>
      </c>
    </row>
    <row r="39" spans="1:7" ht="12.75">
      <c r="A39" s="22">
        <f t="shared" si="1"/>
        <v>41909</v>
      </c>
      <c r="B39" s="15">
        <v>13370371.4</v>
      </c>
      <c r="C39" s="15">
        <v>97119.4</v>
      </c>
      <c r="D39" s="15">
        <f t="shared" si="0"/>
        <v>12151887</v>
      </c>
      <c r="E39" s="15">
        <v>1121365</v>
      </c>
      <c r="F39" s="16">
        <v>940</v>
      </c>
      <c r="G39" s="15">
        <v>170</v>
      </c>
    </row>
    <row r="40" spans="1:7" ht="12.75">
      <c r="A40" s="22">
        <f t="shared" si="1"/>
        <v>41916</v>
      </c>
      <c r="B40" s="15">
        <v>15166658.35</v>
      </c>
      <c r="C40" s="15">
        <f>106782.35-13170</f>
        <v>93612.35</v>
      </c>
      <c r="D40" s="15">
        <f t="shared" si="0"/>
        <v>13867503</v>
      </c>
      <c r="E40" s="15">
        <v>1205543</v>
      </c>
      <c r="F40" s="16">
        <v>940</v>
      </c>
      <c r="G40" s="15">
        <v>183</v>
      </c>
    </row>
    <row r="41" spans="1:7" ht="12.75">
      <c r="A41" s="22">
        <f t="shared" si="1"/>
        <v>41923</v>
      </c>
      <c r="B41" s="15">
        <v>15038830.37</v>
      </c>
      <c r="C41" s="15">
        <v>107008.37</v>
      </c>
      <c r="D41" s="15">
        <f t="shared" si="0"/>
        <v>13736567</v>
      </c>
      <c r="E41" s="15">
        <v>1195255</v>
      </c>
      <c r="F41" s="16">
        <v>940</v>
      </c>
      <c r="G41" s="15">
        <v>182</v>
      </c>
    </row>
    <row r="42" spans="1:7" ht="12.75">
      <c r="A42" s="22">
        <f t="shared" si="1"/>
        <v>41930</v>
      </c>
      <c r="B42" s="15">
        <v>14242253.61</v>
      </c>
      <c r="C42" s="15">
        <v>103830.61</v>
      </c>
      <c r="D42" s="15">
        <f t="shared" si="0"/>
        <v>12965528</v>
      </c>
      <c r="E42" s="15">
        <v>1172895</v>
      </c>
      <c r="F42" s="16">
        <v>940</v>
      </c>
      <c r="G42" s="15">
        <v>178</v>
      </c>
    </row>
    <row r="43" spans="1:7" ht="12.75">
      <c r="A43" s="22">
        <f t="shared" si="1"/>
        <v>41937</v>
      </c>
      <c r="B43" s="15">
        <v>13602774.2</v>
      </c>
      <c r="C43" s="15">
        <v>107098.2</v>
      </c>
      <c r="D43" s="15">
        <f t="shared" si="0"/>
        <v>12449701</v>
      </c>
      <c r="E43" s="15">
        <v>1045975</v>
      </c>
      <c r="F43" s="16">
        <v>940</v>
      </c>
      <c r="G43" s="15">
        <v>159</v>
      </c>
    </row>
    <row r="44" spans="1:7" ht="12.75">
      <c r="A44" s="22">
        <f t="shared" si="1"/>
        <v>41944</v>
      </c>
      <c r="B44" s="15">
        <v>14533434.95</v>
      </c>
      <c r="C44" s="15">
        <v>123375.95</v>
      </c>
      <c r="D44" s="15">
        <f t="shared" si="0"/>
        <v>13295426</v>
      </c>
      <c r="E44" s="15">
        <v>1114633</v>
      </c>
      <c r="F44" s="16">
        <v>940</v>
      </c>
      <c r="G44" s="15">
        <v>169</v>
      </c>
    </row>
    <row r="45" spans="1:7" ht="12.75">
      <c r="A45" s="22">
        <f t="shared" si="1"/>
        <v>41951</v>
      </c>
      <c r="B45" s="15">
        <v>14419256.34</v>
      </c>
      <c r="C45" s="15">
        <v>101929.34</v>
      </c>
      <c r="D45" s="15">
        <f t="shared" si="0"/>
        <v>13151130</v>
      </c>
      <c r="E45" s="15">
        <v>1166197</v>
      </c>
      <c r="F45" s="16">
        <v>940</v>
      </c>
      <c r="G45" s="15">
        <v>177</v>
      </c>
    </row>
    <row r="46" spans="1:7" ht="12.75">
      <c r="A46" s="22">
        <f t="shared" si="1"/>
        <v>41958</v>
      </c>
      <c r="B46" s="15">
        <v>13460164.35</v>
      </c>
      <c r="C46" s="15">
        <v>91988.35</v>
      </c>
      <c r="D46" s="15">
        <f t="shared" si="0"/>
        <v>12304223</v>
      </c>
      <c r="E46" s="15">
        <v>1063953</v>
      </c>
      <c r="F46" s="16">
        <v>940</v>
      </c>
      <c r="G46" s="15">
        <v>162</v>
      </c>
    </row>
    <row r="47" spans="1:7" ht="12.75">
      <c r="A47" s="22">
        <f t="shared" si="1"/>
        <v>41965</v>
      </c>
      <c r="B47" s="15">
        <v>3379574.97</v>
      </c>
      <c r="C47" s="15">
        <v>40547.97</v>
      </c>
      <c r="D47" s="15">
        <f t="shared" si="0"/>
        <v>3096120</v>
      </c>
      <c r="E47" s="15">
        <v>242907</v>
      </c>
      <c r="F47" s="16">
        <v>940</v>
      </c>
      <c r="G47" s="15">
        <v>37</v>
      </c>
    </row>
    <row r="48" spans="1:7" ht="12.75">
      <c r="A48" s="22">
        <f t="shared" si="1"/>
        <v>41972</v>
      </c>
      <c r="B48" s="15">
        <v>14312412.19</v>
      </c>
      <c r="C48" s="15">
        <v>121140.19</v>
      </c>
      <c r="D48" s="15">
        <f t="shared" si="0"/>
        <v>13068253</v>
      </c>
      <c r="E48" s="15">
        <v>1123019</v>
      </c>
      <c r="F48" s="16">
        <v>940</v>
      </c>
      <c r="G48" s="15">
        <v>171</v>
      </c>
    </row>
    <row r="49" spans="1:7" ht="12.75">
      <c r="A49" s="22">
        <f t="shared" si="1"/>
        <v>41979</v>
      </c>
      <c r="B49" s="15">
        <v>14388245.87</v>
      </c>
      <c r="C49" s="15">
        <f>125371.87-14592</f>
        <v>110779.87</v>
      </c>
      <c r="D49" s="15">
        <f t="shared" si="0"/>
        <v>13129934</v>
      </c>
      <c r="E49" s="15">
        <v>1147532</v>
      </c>
      <c r="F49" s="16">
        <v>940</v>
      </c>
      <c r="G49" s="15">
        <v>174</v>
      </c>
    </row>
    <row r="50" spans="1:7" ht="12.75">
      <c r="A50" s="22">
        <f t="shared" si="1"/>
        <v>41986</v>
      </c>
      <c r="B50" s="15">
        <v>13391614.41</v>
      </c>
      <c r="C50" s="15">
        <v>140485.41</v>
      </c>
      <c r="D50" s="15">
        <f t="shared" si="0"/>
        <v>12189616</v>
      </c>
      <c r="E50" s="15">
        <v>1061513</v>
      </c>
      <c r="F50" s="16">
        <v>940</v>
      </c>
      <c r="G50" s="15">
        <v>161</v>
      </c>
    </row>
    <row r="51" spans="1:7" ht="12.75">
      <c r="A51" s="22">
        <f t="shared" si="1"/>
        <v>41993</v>
      </c>
      <c r="B51" s="15">
        <v>14603996.15</v>
      </c>
      <c r="C51" s="15">
        <v>162320.15</v>
      </c>
      <c r="D51" s="15">
        <f t="shared" si="0"/>
        <v>13392270</v>
      </c>
      <c r="E51" s="15">
        <v>1049406</v>
      </c>
      <c r="F51" s="16">
        <v>940</v>
      </c>
      <c r="G51" s="15">
        <v>159</v>
      </c>
    </row>
    <row r="52" spans="1:7" ht="12.75">
      <c r="A52" s="22">
        <f t="shared" si="1"/>
        <v>42000</v>
      </c>
      <c r="B52" s="15">
        <v>14945764.85</v>
      </c>
      <c r="C52" s="15">
        <v>118723.85</v>
      </c>
      <c r="D52" s="15">
        <f t="shared" si="0"/>
        <v>13643192</v>
      </c>
      <c r="E52" s="15">
        <v>1183849</v>
      </c>
      <c r="F52" s="16">
        <v>940</v>
      </c>
      <c r="G52" s="15">
        <v>180</v>
      </c>
    </row>
    <row r="53" spans="1:7" ht="12.75">
      <c r="A53" s="22">
        <f t="shared" si="1"/>
        <v>42007</v>
      </c>
      <c r="B53" s="15">
        <v>18342039.96</v>
      </c>
      <c r="C53" s="15">
        <v>125963.96</v>
      </c>
      <c r="D53" s="15">
        <f t="shared" si="0"/>
        <v>16846934</v>
      </c>
      <c r="E53" s="15">
        <v>1369142</v>
      </c>
      <c r="F53" s="16">
        <v>940</v>
      </c>
      <c r="G53" s="15">
        <v>208</v>
      </c>
    </row>
    <row r="54" spans="1:7" ht="12.75">
      <c r="A54" s="22">
        <f t="shared" si="1"/>
        <v>42014</v>
      </c>
      <c r="B54" s="15">
        <v>9071952.16</v>
      </c>
      <c r="C54" s="15">
        <v>71634.16</v>
      </c>
      <c r="D54" s="15">
        <f t="shared" si="0"/>
        <v>8291020</v>
      </c>
      <c r="E54" s="15">
        <v>709298</v>
      </c>
      <c r="F54" s="16">
        <v>940</v>
      </c>
      <c r="G54" s="15">
        <v>108</v>
      </c>
    </row>
    <row r="55" spans="1:7" ht="12.75">
      <c r="A55" s="22">
        <f t="shared" si="1"/>
        <v>42021</v>
      </c>
      <c r="B55" s="15">
        <v>14497947.54</v>
      </c>
      <c r="C55" s="15">
        <f>117649.54-7684</f>
        <v>109965.54</v>
      </c>
      <c r="D55" s="15">
        <f t="shared" si="0"/>
        <v>13183705</v>
      </c>
      <c r="E55" s="15">
        <v>1204277</v>
      </c>
      <c r="F55" s="16">
        <v>940</v>
      </c>
      <c r="G55" s="15">
        <v>183</v>
      </c>
    </row>
    <row r="56" spans="1:7" ht="12.75">
      <c r="A56" s="22">
        <f t="shared" si="1"/>
        <v>42028</v>
      </c>
      <c r="B56" s="15">
        <v>15384328.98</v>
      </c>
      <c r="C56" s="15">
        <v>113912.98</v>
      </c>
      <c r="D56" s="15">
        <f t="shared" si="0"/>
        <v>14034229</v>
      </c>
      <c r="E56" s="15">
        <v>1236187</v>
      </c>
      <c r="F56" s="16">
        <v>940</v>
      </c>
      <c r="G56" s="15">
        <v>188</v>
      </c>
    </row>
    <row r="57" spans="1:7" ht="12.75">
      <c r="A57" s="22">
        <f t="shared" si="1"/>
        <v>42035</v>
      </c>
      <c r="B57" s="15">
        <v>13279250.25</v>
      </c>
      <c r="C57" s="15">
        <v>95430.25</v>
      </c>
      <c r="D57" s="15">
        <f t="shared" si="0"/>
        <v>12153285</v>
      </c>
      <c r="E57" s="15">
        <v>1030535</v>
      </c>
      <c r="F57" s="16">
        <v>940</v>
      </c>
      <c r="G57" s="15">
        <v>157</v>
      </c>
    </row>
    <row r="58" spans="1:7" ht="12.75">
      <c r="A58" s="22">
        <f t="shared" si="1"/>
        <v>42042</v>
      </c>
      <c r="B58" s="15">
        <v>13445802.63</v>
      </c>
      <c r="C58" s="15">
        <v>110839.63</v>
      </c>
      <c r="D58" s="15">
        <f t="shared" si="0"/>
        <v>12219679</v>
      </c>
      <c r="E58" s="15">
        <v>1115284</v>
      </c>
      <c r="F58" s="16">
        <v>940</v>
      </c>
      <c r="G58" s="15">
        <v>169</v>
      </c>
    </row>
    <row r="59" spans="1:7" ht="12.75">
      <c r="A59" s="22">
        <f t="shared" si="1"/>
        <v>42049</v>
      </c>
      <c r="B59" s="15">
        <v>12493576.7</v>
      </c>
      <c r="C59" s="15">
        <f>102111.7-136281</f>
        <v>-34169.3</v>
      </c>
      <c r="D59" s="15">
        <f t="shared" si="0"/>
        <v>11368149</v>
      </c>
      <c r="E59" s="15">
        <v>1159597</v>
      </c>
      <c r="F59" s="16">
        <v>940</v>
      </c>
      <c r="G59" s="15">
        <v>176</v>
      </c>
    </row>
    <row r="60" spans="1:7" ht="12.75">
      <c r="A60" s="22">
        <f t="shared" si="1"/>
        <v>42056</v>
      </c>
      <c r="B60" s="15">
        <v>14377465.45</v>
      </c>
      <c r="C60" s="15">
        <v>108772.45</v>
      </c>
      <c r="D60" s="15">
        <f t="shared" si="0"/>
        <v>13113543</v>
      </c>
      <c r="E60" s="15">
        <v>1155150</v>
      </c>
      <c r="F60" s="16">
        <v>940</v>
      </c>
      <c r="G60" s="15">
        <v>176</v>
      </c>
    </row>
    <row r="61" spans="1:7" ht="12.75">
      <c r="A61" s="22">
        <f t="shared" si="1"/>
        <v>42063</v>
      </c>
      <c r="B61" s="15">
        <v>15776831.53</v>
      </c>
      <c r="C61" s="15">
        <v>111649.53</v>
      </c>
      <c r="D61" s="15">
        <f t="shared" si="0"/>
        <v>14421830</v>
      </c>
      <c r="E61" s="15">
        <v>1243352</v>
      </c>
      <c r="F61" s="16">
        <v>940</v>
      </c>
      <c r="G61" s="15">
        <v>189</v>
      </c>
    </row>
    <row r="62" spans="1:7" ht="12.75">
      <c r="A62" s="22">
        <f t="shared" si="1"/>
        <v>42070</v>
      </c>
      <c r="B62" s="15">
        <v>16370371</v>
      </c>
      <c r="C62" s="15">
        <f>122151.2-39967</f>
        <v>82184.2</v>
      </c>
      <c r="D62" s="15">
        <f t="shared" si="0"/>
        <v>14966996.8</v>
      </c>
      <c r="E62" s="15">
        <v>1321190</v>
      </c>
      <c r="F62" s="16">
        <v>940</v>
      </c>
      <c r="G62" s="15">
        <v>201</v>
      </c>
    </row>
    <row r="63" spans="1:7" ht="12.75">
      <c r="A63" s="22">
        <f t="shared" si="1"/>
        <v>42077</v>
      </c>
      <c r="B63" s="15">
        <v>18431827</v>
      </c>
      <c r="C63" s="15">
        <v>145194.79</v>
      </c>
      <c r="D63" s="15">
        <f t="shared" si="0"/>
        <v>16757200.21</v>
      </c>
      <c r="E63" s="15">
        <v>1529432</v>
      </c>
      <c r="F63" s="16">
        <v>940</v>
      </c>
      <c r="G63" s="15">
        <v>232</v>
      </c>
    </row>
    <row r="64" spans="1:7" ht="12.75">
      <c r="A64" s="22">
        <f t="shared" si="1"/>
        <v>42084</v>
      </c>
      <c r="B64" s="15">
        <v>18220847</v>
      </c>
      <c r="C64" s="15">
        <v>153816.82</v>
      </c>
      <c r="D64" s="15">
        <f t="shared" si="0"/>
        <v>16616604.18</v>
      </c>
      <c r="E64" s="15">
        <v>1450426</v>
      </c>
      <c r="F64" s="16">
        <v>940</v>
      </c>
      <c r="G64" s="15">
        <v>220</v>
      </c>
    </row>
    <row r="66" spans="1:7" ht="13.5" thickBot="1">
      <c r="A66" s="22" t="s">
        <v>8</v>
      </c>
      <c r="B66" s="17">
        <f>SUM(B13:B64)</f>
        <v>789588080.8100002</v>
      </c>
      <c r="C66" s="17">
        <f>SUM(C13:C64)</f>
        <v>5671293.620000002</v>
      </c>
      <c r="D66" s="17">
        <f>SUM(D13:D64)</f>
        <v>720857741.1899999</v>
      </c>
      <c r="E66" s="17">
        <f>SUM(E13:E64)</f>
        <v>63059046</v>
      </c>
      <c r="F66" s="24">
        <f>SUM(F13:F65)/COUNT(F13:F65)</f>
        <v>940</v>
      </c>
      <c r="G66" s="17">
        <f>+E66/SUM(F13:F65)/7</f>
        <v>184.29695464110358</v>
      </c>
    </row>
    <row r="67" spans="1:5" s="21" customFormat="1" ht="13.5" thickTop="1">
      <c r="A67" s="22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15.7109375" style="22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0" s="26" customFormat="1" ht="18">
      <c r="A1" s="42" t="s">
        <v>30</v>
      </c>
      <c r="B1" s="42"/>
      <c r="C1" s="42"/>
      <c r="D1" s="42"/>
      <c r="E1" s="42"/>
      <c r="F1" s="42"/>
      <c r="G1" s="42"/>
      <c r="H1" s="28"/>
      <c r="I1" s="28"/>
      <c r="J1" s="28"/>
    </row>
    <row r="2" spans="1:10" s="26" customFormat="1" ht="15">
      <c r="A2" s="43" t="s">
        <v>19</v>
      </c>
      <c r="B2" s="43"/>
      <c r="C2" s="43"/>
      <c r="D2" s="43"/>
      <c r="E2" s="43"/>
      <c r="F2" s="43"/>
      <c r="G2" s="43"/>
      <c r="H2" s="29"/>
      <c r="I2" s="29"/>
      <c r="J2" s="29"/>
    </row>
    <row r="3" spans="1:10" s="27" customFormat="1" ht="15">
      <c r="A3" s="43" t="s">
        <v>20</v>
      </c>
      <c r="B3" s="43"/>
      <c r="C3" s="43"/>
      <c r="D3" s="43"/>
      <c r="E3" s="43"/>
      <c r="F3" s="43"/>
      <c r="G3" s="43"/>
      <c r="H3" s="29"/>
      <c r="I3" s="29"/>
      <c r="J3" s="29"/>
    </row>
    <row r="4" spans="1:10" s="27" customFormat="1" ht="14.25">
      <c r="A4" s="44" t="s">
        <v>21</v>
      </c>
      <c r="B4" s="44"/>
      <c r="C4" s="44"/>
      <c r="D4" s="44"/>
      <c r="E4" s="44"/>
      <c r="F4" s="44"/>
      <c r="G4" s="44"/>
      <c r="H4" s="32"/>
      <c r="I4" s="30"/>
      <c r="J4" s="30"/>
    </row>
    <row r="5" spans="1:10" s="27" customFormat="1" ht="14.25">
      <c r="A5" s="45" t="s">
        <v>22</v>
      </c>
      <c r="B5" s="45"/>
      <c r="C5" s="45"/>
      <c r="D5" s="45"/>
      <c r="E5" s="45"/>
      <c r="F5" s="45"/>
      <c r="G5" s="45"/>
      <c r="H5" s="31"/>
      <c r="I5" s="31"/>
      <c r="J5" s="31"/>
    </row>
    <row r="6" spans="1:7" s="1" customFormat="1" ht="14.25">
      <c r="A6" s="33"/>
      <c r="B6" s="2"/>
      <c r="C6" s="2"/>
      <c r="D6" s="2"/>
      <c r="E6" s="2"/>
      <c r="F6" s="2"/>
      <c r="G6" s="2"/>
    </row>
    <row r="7" spans="1:7" s="1" customFormat="1" ht="12.75">
      <c r="A7" s="22"/>
      <c r="B7" s="4"/>
      <c r="C7" s="4"/>
      <c r="D7" s="4"/>
      <c r="E7" s="5"/>
      <c r="F7" s="6"/>
      <c r="G7" s="5"/>
    </row>
    <row r="8" spans="1:7" s="7" customFormat="1" ht="14.25" customHeight="1">
      <c r="A8" s="46" t="s">
        <v>29</v>
      </c>
      <c r="B8" s="47"/>
      <c r="C8" s="47"/>
      <c r="D8" s="47"/>
      <c r="E8" s="47"/>
      <c r="F8" s="47"/>
      <c r="G8" s="48"/>
    </row>
    <row r="9" spans="1:7" s="1" customFormat="1" ht="9" customHeight="1">
      <c r="A9" s="22"/>
      <c r="B9" s="4"/>
      <c r="C9" s="4"/>
      <c r="D9" s="4"/>
      <c r="E9" s="5"/>
      <c r="F9" s="6"/>
      <c r="G9" s="5"/>
    </row>
    <row r="10" spans="1:7" s="12" customFormat="1" ht="12">
      <c r="A10" s="34"/>
      <c r="B10" s="10" t="s">
        <v>0</v>
      </c>
      <c r="C10" s="10" t="s">
        <v>26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35" t="s">
        <v>11</v>
      </c>
      <c r="B11" s="8" t="s">
        <v>3</v>
      </c>
      <c r="C11" s="8" t="s">
        <v>28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41363</v>
      </c>
      <c r="B13" s="15">
        <v>21984844.17</v>
      </c>
      <c r="C13" s="15">
        <v>268465.17</v>
      </c>
      <c r="D13" s="15">
        <f aca="true" t="shared" si="0" ref="D13:D64">+B13-C13-E13</f>
        <v>20051476</v>
      </c>
      <c r="E13" s="15">
        <v>1664903</v>
      </c>
      <c r="F13" s="16">
        <v>940</v>
      </c>
      <c r="G13" s="15">
        <v>253</v>
      </c>
    </row>
    <row r="14" spans="1:7" ht="12.75">
      <c r="A14" s="22">
        <f aca="true" t="shared" si="1" ref="A14:A64">+A13+7</f>
        <v>41370</v>
      </c>
      <c r="B14" s="15">
        <v>21338167.53</v>
      </c>
      <c r="C14" s="15">
        <v>184367.53</v>
      </c>
      <c r="D14" s="15">
        <f t="shared" si="0"/>
        <v>19432486</v>
      </c>
      <c r="E14" s="15">
        <v>1721314</v>
      </c>
      <c r="F14" s="16">
        <v>940</v>
      </c>
      <c r="G14" s="15">
        <v>262</v>
      </c>
    </row>
    <row r="15" spans="1:7" ht="12.75">
      <c r="A15" s="22">
        <f t="shared" si="1"/>
        <v>41377</v>
      </c>
      <c r="B15" s="15">
        <v>21602876.25</v>
      </c>
      <c r="C15" s="15">
        <v>38073.25</v>
      </c>
      <c r="D15" s="15">
        <f t="shared" si="0"/>
        <v>19726299</v>
      </c>
      <c r="E15" s="15">
        <v>1838504</v>
      </c>
      <c r="F15" s="16">
        <v>940</v>
      </c>
      <c r="G15" s="15">
        <v>279</v>
      </c>
    </row>
    <row r="16" spans="1:7" ht="12.75">
      <c r="A16" s="22">
        <f t="shared" si="1"/>
        <v>41384</v>
      </c>
      <c r="B16" s="15">
        <v>20572597.47</v>
      </c>
      <c r="C16" s="15">
        <v>175967.47</v>
      </c>
      <c r="D16" s="15">
        <f t="shared" si="0"/>
        <v>18762191</v>
      </c>
      <c r="E16" s="15">
        <v>1634439</v>
      </c>
      <c r="F16" s="16">
        <v>940</v>
      </c>
      <c r="G16" s="15">
        <v>248</v>
      </c>
    </row>
    <row r="17" spans="1:7" ht="12.75">
      <c r="A17" s="22">
        <f t="shared" si="1"/>
        <v>41391</v>
      </c>
      <c r="B17" s="15">
        <v>23357173.82</v>
      </c>
      <c r="C17" s="15">
        <v>226902.82</v>
      </c>
      <c r="D17" s="15">
        <f t="shared" si="0"/>
        <v>21295703</v>
      </c>
      <c r="E17" s="15">
        <v>1834568</v>
      </c>
      <c r="F17" s="16">
        <v>940</v>
      </c>
      <c r="G17" s="15">
        <v>279</v>
      </c>
    </row>
    <row r="18" spans="1:7" ht="12.75">
      <c r="A18" s="22">
        <f t="shared" si="1"/>
        <v>41398</v>
      </c>
      <c r="B18" s="15">
        <v>20114163.88</v>
      </c>
      <c r="C18" s="15">
        <v>175607.88</v>
      </c>
      <c r="D18" s="15">
        <f t="shared" si="0"/>
        <v>18367463</v>
      </c>
      <c r="E18" s="15">
        <v>1571093</v>
      </c>
      <c r="F18" s="16">
        <v>940</v>
      </c>
      <c r="G18" s="15">
        <v>239</v>
      </c>
    </row>
    <row r="19" spans="1:7" ht="12.75">
      <c r="A19" s="22">
        <f t="shared" si="1"/>
        <v>41405</v>
      </c>
      <c r="B19" s="15">
        <v>20487807.2</v>
      </c>
      <c r="C19" s="15">
        <v>104468.2</v>
      </c>
      <c r="D19" s="15">
        <f t="shared" si="0"/>
        <v>18605238</v>
      </c>
      <c r="E19" s="15">
        <v>1778101</v>
      </c>
      <c r="F19" s="16">
        <v>940</v>
      </c>
      <c r="G19" s="15">
        <v>270</v>
      </c>
    </row>
    <row r="20" spans="1:7" ht="12.75">
      <c r="A20" s="22">
        <f t="shared" si="1"/>
        <v>41412</v>
      </c>
      <c r="B20" s="15">
        <v>20606431.97</v>
      </c>
      <c r="C20" s="15">
        <v>173230.97</v>
      </c>
      <c r="D20" s="15">
        <f t="shared" si="0"/>
        <v>18782258</v>
      </c>
      <c r="E20" s="15">
        <v>1650943</v>
      </c>
      <c r="F20" s="16">
        <v>940</v>
      </c>
      <c r="G20" s="15">
        <v>251</v>
      </c>
    </row>
    <row r="21" spans="1:7" ht="12.75">
      <c r="A21" s="22">
        <f t="shared" si="1"/>
        <v>41419</v>
      </c>
      <c r="B21" s="15">
        <v>18245075.71</v>
      </c>
      <c r="C21" s="15">
        <v>128778.71</v>
      </c>
      <c r="D21" s="15">
        <f t="shared" si="0"/>
        <v>16610989</v>
      </c>
      <c r="E21" s="15">
        <v>1505308</v>
      </c>
      <c r="F21" s="16">
        <v>940</v>
      </c>
      <c r="G21" s="15">
        <v>229</v>
      </c>
    </row>
    <row r="22" spans="1:7" ht="12.75">
      <c r="A22" s="22">
        <f t="shared" si="1"/>
        <v>41426</v>
      </c>
      <c r="B22" s="15">
        <v>19026599.89</v>
      </c>
      <c r="C22" s="15">
        <v>136643.89</v>
      </c>
      <c r="D22" s="15">
        <f t="shared" si="0"/>
        <v>17372333</v>
      </c>
      <c r="E22" s="15">
        <v>1517623</v>
      </c>
      <c r="F22" s="16">
        <v>940</v>
      </c>
      <c r="G22" s="15">
        <v>231</v>
      </c>
    </row>
    <row r="23" spans="1:7" ht="12.75">
      <c r="A23" s="22">
        <f t="shared" si="1"/>
        <v>41433</v>
      </c>
      <c r="B23" s="15">
        <v>21553743.08</v>
      </c>
      <c r="C23" s="15">
        <v>158697.08</v>
      </c>
      <c r="D23" s="15">
        <f t="shared" si="0"/>
        <v>19714428</v>
      </c>
      <c r="E23" s="15">
        <v>1680618</v>
      </c>
      <c r="F23" s="16">
        <v>940</v>
      </c>
      <c r="G23" s="15">
        <v>255</v>
      </c>
    </row>
    <row r="24" spans="1:7" ht="12.75">
      <c r="A24" s="22">
        <f t="shared" si="1"/>
        <v>41440</v>
      </c>
      <c r="B24" s="15">
        <v>21678053.97</v>
      </c>
      <c r="C24" s="15">
        <v>174677.97</v>
      </c>
      <c r="D24" s="15">
        <f t="shared" si="0"/>
        <v>19779309</v>
      </c>
      <c r="E24" s="15">
        <v>1724067</v>
      </c>
      <c r="F24" s="16">
        <v>940</v>
      </c>
      <c r="G24" s="15">
        <v>262</v>
      </c>
    </row>
    <row r="25" spans="1:7" ht="12.75">
      <c r="A25" s="22">
        <f t="shared" si="1"/>
        <v>41447</v>
      </c>
      <c r="B25" s="15">
        <v>19357979.66</v>
      </c>
      <c r="C25" s="15">
        <v>256984.66</v>
      </c>
      <c r="D25" s="15">
        <f t="shared" si="0"/>
        <v>17609553</v>
      </c>
      <c r="E25" s="15">
        <v>1491442</v>
      </c>
      <c r="F25" s="16">
        <v>940</v>
      </c>
      <c r="G25" s="15">
        <v>227</v>
      </c>
    </row>
    <row r="26" spans="1:7" ht="12.75">
      <c r="A26" s="22">
        <f t="shared" si="1"/>
        <v>41454</v>
      </c>
      <c r="B26" s="15">
        <v>20682513.7</v>
      </c>
      <c r="C26" s="15">
        <v>141177.7</v>
      </c>
      <c r="D26" s="15">
        <f t="shared" si="0"/>
        <v>18865830</v>
      </c>
      <c r="E26" s="15">
        <v>1675506</v>
      </c>
      <c r="F26" s="16">
        <v>940</v>
      </c>
      <c r="G26" s="15">
        <v>255</v>
      </c>
    </row>
    <row r="27" spans="1:7" ht="12.75">
      <c r="A27" s="22">
        <f t="shared" si="1"/>
        <v>41461</v>
      </c>
      <c r="B27" s="15">
        <v>22827049.88</v>
      </c>
      <c r="C27" s="15">
        <v>212828.88</v>
      </c>
      <c r="D27" s="15">
        <f t="shared" si="0"/>
        <v>20785848</v>
      </c>
      <c r="E27" s="15">
        <v>1828373</v>
      </c>
      <c r="F27" s="16">
        <v>940</v>
      </c>
      <c r="G27" s="15">
        <v>278</v>
      </c>
    </row>
    <row r="28" spans="1:7" ht="12.75">
      <c r="A28" s="22">
        <f t="shared" si="1"/>
        <v>41468</v>
      </c>
      <c r="B28" s="15">
        <v>21280238.05</v>
      </c>
      <c r="C28" s="15">
        <v>173186.05</v>
      </c>
      <c r="D28" s="15">
        <f t="shared" si="0"/>
        <v>19467570</v>
      </c>
      <c r="E28" s="15">
        <v>1639482</v>
      </c>
      <c r="F28" s="16">
        <v>940</v>
      </c>
      <c r="G28" s="15">
        <v>249</v>
      </c>
    </row>
    <row r="29" spans="1:7" ht="12.75">
      <c r="A29" s="22">
        <f t="shared" si="1"/>
        <v>41475</v>
      </c>
      <c r="B29" s="15">
        <v>18698471.45</v>
      </c>
      <c r="C29" s="15">
        <v>157476.45</v>
      </c>
      <c r="D29" s="15">
        <f t="shared" si="0"/>
        <v>17007709</v>
      </c>
      <c r="E29" s="15">
        <v>1533286</v>
      </c>
      <c r="F29" s="16">
        <v>940</v>
      </c>
      <c r="G29" s="15">
        <v>233</v>
      </c>
    </row>
    <row r="30" spans="1:7" ht="12.75">
      <c r="A30" s="22">
        <f t="shared" si="1"/>
        <v>41482</v>
      </c>
      <c r="B30" s="15">
        <v>19188013.53</v>
      </c>
      <c r="C30" s="15">
        <v>176792.53</v>
      </c>
      <c r="D30" s="15">
        <f t="shared" si="0"/>
        <v>17489451</v>
      </c>
      <c r="E30" s="15">
        <v>1521770</v>
      </c>
      <c r="F30" s="16">
        <v>940</v>
      </c>
      <c r="G30" s="15">
        <v>231</v>
      </c>
    </row>
    <row r="31" spans="1:7" ht="12.75">
      <c r="A31" s="22">
        <f t="shared" si="1"/>
        <v>41489</v>
      </c>
      <c r="B31" s="15">
        <v>20194028.72</v>
      </c>
      <c r="C31" s="15">
        <v>185259.72</v>
      </c>
      <c r="D31" s="15">
        <f t="shared" si="0"/>
        <v>18402610</v>
      </c>
      <c r="E31" s="15">
        <v>1606159</v>
      </c>
      <c r="F31" s="16">
        <v>940</v>
      </c>
      <c r="G31" s="15">
        <v>244</v>
      </c>
    </row>
    <row r="32" spans="1:7" ht="12.75">
      <c r="A32" s="22">
        <f t="shared" si="1"/>
        <v>41496</v>
      </c>
      <c r="B32" s="15">
        <v>13879360.39</v>
      </c>
      <c r="C32" s="15">
        <v>-60036.61</v>
      </c>
      <c r="D32" s="15">
        <f t="shared" si="0"/>
        <v>12662850</v>
      </c>
      <c r="E32" s="15">
        <v>1276547</v>
      </c>
      <c r="F32" s="16">
        <v>940</v>
      </c>
      <c r="G32" s="15">
        <v>194</v>
      </c>
    </row>
    <row r="33" spans="1:7" ht="12.75">
      <c r="A33" s="22">
        <f t="shared" si="1"/>
        <v>41503</v>
      </c>
      <c r="B33" s="15">
        <v>11044256.32</v>
      </c>
      <c r="C33" s="15">
        <v>21165.32</v>
      </c>
      <c r="D33" s="15">
        <f t="shared" si="0"/>
        <v>10092606</v>
      </c>
      <c r="E33" s="15">
        <v>930485</v>
      </c>
      <c r="F33" s="16">
        <v>940</v>
      </c>
      <c r="G33" s="15">
        <v>141</v>
      </c>
    </row>
    <row r="34" spans="1:7" ht="12.75">
      <c r="A34" s="22">
        <f t="shared" si="1"/>
        <v>41510</v>
      </c>
      <c r="B34" s="15">
        <v>15592487.6</v>
      </c>
      <c r="C34" s="15">
        <v>96033.6</v>
      </c>
      <c r="D34" s="15">
        <f t="shared" si="0"/>
        <v>14194002</v>
      </c>
      <c r="E34" s="15">
        <v>1302452</v>
      </c>
      <c r="F34" s="16">
        <v>940</v>
      </c>
      <c r="G34" s="15">
        <v>198</v>
      </c>
    </row>
    <row r="35" spans="1:7" ht="12.75">
      <c r="A35" s="22">
        <f t="shared" si="1"/>
        <v>41517</v>
      </c>
      <c r="B35" s="15">
        <v>18494948.15</v>
      </c>
      <c r="C35" s="15">
        <v>114089.15</v>
      </c>
      <c r="D35" s="15">
        <f t="shared" si="0"/>
        <v>16884212</v>
      </c>
      <c r="E35" s="15">
        <v>1496647</v>
      </c>
      <c r="F35" s="16">
        <v>940</v>
      </c>
      <c r="G35" s="15">
        <v>227</v>
      </c>
    </row>
    <row r="36" spans="1:7" ht="12.75">
      <c r="A36" s="22">
        <f t="shared" si="1"/>
        <v>41524</v>
      </c>
      <c r="B36" s="15">
        <v>17141011.14</v>
      </c>
      <c r="C36" s="15">
        <v>67116.14</v>
      </c>
      <c r="D36" s="15">
        <f t="shared" si="0"/>
        <v>15596817</v>
      </c>
      <c r="E36" s="15">
        <v>1477078</v>
      </c>
      <c r="F36" s="16">
        <v>940</v>
      </c>
      <c r="G36" s="15">
        <v>224</v>
      </c>
    </row>
    <row r="37" spans="1:7" ht="12.75">
      <c r="A37" s="22">
        <f t="shared" si="1"/>
        <v>41531</v>
      </c>
      <c r="B37" s="15">
        <v>15603337.22</v>
      </c>
      <c r="C37" s="15">
        <f>72739.22-31668</f>
        <v>41071.22</v>
      </c>
      <c r="D37" s="15">
        <f t="shared" si="0"/>
        <v>14247219</v>
      </c>
      <c r="E37" s="15">
        <v>1315047</v>
      </c>
      <c r="F37" s="16">
        <v>940</v>
      </c>
      <c r="G37" s="15">
        <v>200</v>
      </c>
    </row>
    <row r="38" spans="1:7" ht="12.75">
      <c r="A38" s="22">
        <f t="shared" si="1"/>
        <v>41538</v>
      </c>
      <c r="B38" s="15">
        <v>14091891.17</v>
      </c>
      <c r="C38" s="15">
        <v>76264.17</v>
      </c>
      <c r="D38" s="15">
        <f t="shared" si="0"/>
        <v>12852671</v>
      </c>
      <c r="E38" s="15">
        <v>1162956</v>
      </c>
      <c r="F38" s="16">
        <v>940</v>
      </c>
      <c r="G38" s="15">
        <v>177</v>
      </c>
    </row>
    <row r="39" spans="1:7" ht="12.75">
      <c r="A39" s="22">
        <f t="shared" si="1"/>
        <v>41545</v>
      </c>
      <c r="B39" s="15">
        <v>16468493.95</v>
      </c>
      <c r="C39" s="15">
        <v>75005.95</v>
      </c>
      <c r="D39" s="15">
        <f t="shared" si="0"/>
        <v>15010619</v>
      </c>
      <c r="E39" s="15">
        <v>1382869</v>
      </c>
      <c r="F39" s="16">
        <v>940</v>
      </c>
      <c r="G39" s="15">
        <v>210</v>
      </c>
    </row>
    <row r="40" spans="1:7" ht="12.75">
      <c r="A40" s="22">
        <f t="shared" si="1"/>
        <v>41552</v>
      </c>
      <c r="B40" s="15">
        <v>15440602.41</v>
      </c>
      <c r="C40" s="15">
        <v>142673.41</v>
      </c>
      <c r="D40" s="15">
        <f t="shared" si="0"/>
        <v>14001232</v>
      </c>
      <c r="E40" s="15">
        <v>1296697</v>
      </c>
      <c r="F40" s="16">
        <v>940</v>
      </c>
      <c r="G40" s="15">
        <v>197</v>
      </c>
    </row>
    <row r="41" spans="1:7" ht="12.75">
      <c r="A41" s="22">
        <f t="shared" si="1"/>
        <v>41559</v>
      </c>
      <c r="B41" s="15">
        <v>15604566.68</v>
      </c>
      <c r="C41" s="15">
        <f>109219.68-16118</f>
        <v>93101.68</v>
      </c>
      <c r="D41" s="15">
        <f t="shared" si="0"/>
        <v>14305805</v>
      </c>
      <c r="E41" s="15">
        <v>1205660</v>
      </c>
      <c r="F41" s="16">
        <v>940</v>
      </c>
      <c r="G41" s="15">
        <v>183</v>
      </c>
    </row>
    <row r="42" spans="1:7" ht="12.75">
      <c r="A42" s="22">
        <f t="shared" si="1"/>
        <v>41566</v>
      </c>
      <c r="B42" s="15">
        <v>15501547.14</v>
      </c>
      <c r="C42" s="15">
        <v>110829.14</v>
      </c>
      <c r="D42" s="15">
        <f t="shared" si="0"/>
        <v>14175064</v>
      </c>
      <c r="E42" s="15">
        <v>1215654</v>
      </c>
      <c r="F42" s="16">
        <v>940</v>
      </c>
      <c r="G42" s="15">
        <v>185</v>
      </c>
    </row>
    <row r="43" spans="1:7" ht="12.75">
      <c r="A43" s="22">
        <f t="shared" si="1"/>
        <v>41573</v>
      </c>
      <c r="B43" s="15">
        <v>14449090.8</v>
      </c>
      <c r="C43" s="15">
        <v>100081.8</v>
      </c>
      <c r="D43" s="15">
        <f t="shared" si="0"/>
        <v>13190232</v>
      </c>
      <c r="E43" s="15">
        <v>1158777</v>
      </c>
      <c r="F43" s="16">
        <v>940</v>
      </c>
      <c r="G43" s="15">
        <v>176</v>
      </c>
    </row>
    <row r="44" spans="1:7" ht="12.75">
      <c r="A44" s="22">
        <f t="shared" si="1"/>
        <v>41580</v>
      </c>
      <c r="B44" s="15">
        <v>15273040.65</v>
      </c>
      <c r="C44" s="15">
        <v>148003.65</v>
      </c>
      <c r="D44" s="15">
        <f t="shared" si="0"/>
        <v>13923809</v>
      </c>
      <c r="E44" s="15">
        <v>1201228</v>
      </c>
      <c r="F44" s="16">
        <f>6580/7</f>
        <v>940</v>
      </c>
      <c r="G44" s="15">
        <v>183</v>
      </c>
    </row>
    <row r="45" spans="1:7" ht="12.75">
      <c r="A45" s="22">
        <f t="shared" si="1"/>
        <v>41587</v>
      </c>
      <c r="B45" s="15">
        <v>17305003.6</v>
      </c>
      <c r="C45" s="15">
        <v>169736.6</v>
      </c>
      <c r="D45" s="15">
        <f t="shared" si="0"/>
        <v>15795583</v>
      </c>
      <c r="E45" s="15">
        <v>1339684</v>
      </c>
      <c r="F45" s="16">
        <f>6580/7</f>
        <v>940</v>
      </c>
      <c r="G45" s="15">
        <v>204</v>
      </c>
    </row>
    <row r="46" spans="1:7" ht="12.75">
      <c r="A46" s="22">
        <f t="shared" si="1"/>
        <v>41594</v>
      </c>
      <c r="B46" s="15">
        <v>16881365.97</v>
      </c>
      <c r="C46" s="15">
        <v>170436.97</v>
      </c>
      <c r="D46" s="15">
        <f t="shared" si="0"/>
        <v>15428087.999999998</v>
      </c>
      <c r="E46" s="15">
        <v>1282841</v>
      </c>
      <c r="F46" s="16">
        <v>940</v>
      </c>
      <c r="G46" s="15">
        <v>195</v>
      </c>
    </row>
    <row r="47" spans="1:7" ht="12.75">
      <c r="A47" s="22">
        <f t="shared" si="1"/>
        <v>41601</v>
      </c>
      <c r="B47" s="15">
        <v>14542564.42</v>
      </c>
      <c r="C47" s="15">
        <v>154355.42</v>
      </c>
      <c r="D47" s="15">
        <f t="shared" si="0"/>
        <v>13250947</v>
      </c>
      <c r="E47" s="15">
        <v>1137262</v>
      </c>
      <c r="F47" s="16">
        <v>940</v>
      </c>
      <c r="G47" s="15">
        <v>173</v>
      </c>
    </row>
    <row r="48" spans="1:7" ht="12.75">
      <c r="A48" s="22">
        <f t="shared" si="1"/>
        <v>41608</v>
      </c>
      <c r="B48" s="15">
        <v>13678486.38</v>
      </c>
      <c r="C48" s="15">
        <f>119839.38-29840</f>
        <v>89999.38</v>
      </c>
      <c r="D48" s="15">
        <f t="shared" si="0"/>
        <v>12485148</v>
      </c>
      <c r="E48" s="15">
        <v>1103339</v>
      </c>
      <c r="F48" s="16">
        <v>940</v>
      </c>
      <c r="G48" s="15">
        <v>168</v>
      </c>
    </row>
    <row r="49" spans="1:7" ht="12.75">
      <c r="A49" s="22">
        <f t="shared" si="1"/>
        <v>41615</v>
      </c>
      <c r="B49" s="15">
        <v>16629061.22</v>
      </c>
      <c r="C49" s="15">
        <v>83645.22</v>
      </c>
      <c r="D49" s="15">
        <f t="shared" si="0"/>
        <v>15201695</v>
      </c>
      <c r="E49" s="15">
        <v>1343721</v>
      </c>
      <c r="F49" s="16">
        <v>940</v>
      </c>
      <c r="G49" s="15">
        <v>204</v>
      </c>
    </row>
    <row r="50" spans="1:7" ht="12.75">
      <c r="A50" s="22">
        <f t="shared" si="1"/>
        <v>41622</v>
      </c>
      <c r="B50" s="15">
        <v>9686438.1</v>
      </c>
      <c r="C50" s="15">
        <v>48088.1</v>
      </c>
      <c r="D50" s="15">
        <f t="shared" si="0"/>
        <v>8831021</v>
      </c>
      <c r="E50" s="15">
        <v>807329</v>
      </c>
      <c r="F50" s="16">
        <v>940</v>
      </c>
      <c r="G50" s="15">
        <v>123</v>
      </c>
    </row>
    <row r="51" spans="1:7" ht="12.75">
      <c r="A51" s="22">
        <f t="shared" si="1"/>
        <v>41629</v>
      </c>
      <c r="B51" s="15">
        <v>13801660.25</v>
      </c>
      <c r="C51" s="15">
        <v>58750.25</v>
      </c>
      <c r="D51" s="15">
        <f t="shared" si="0"/>
        <v>12611474</v>
      </c>
      <c r="E51" s="15">
        <v>1131436</v>
      </c>
      <c r="F51" s="16">
        <v>940</v>
      </c>
      <c r="G51" s="15">
        <v>172</v>
      </c>
    </row>
    <row r="52" spans="1:7" ht="12.75">
      <c r="A52" s="22">
        <f t="shared" si="1"/>
        <v>41636</v>
      </c>
      <c r="B52" s="15">
        <v>15860774.61</v>
      </c>
      <c r="C52" s="15">
        <f>97792.61-68899</f>
        <v>28893.61</v>
      </c>
      <c r="D52" s="15">
        <f t="shared" si="0"/>
        <v>14472007</v>
      </c>
      <c r="E52" s="15">
        <v>1359874</v>
      </c>
      <c r="F52" s="16">
        <v>940</v>
      </c>
      <c r="G52" s="15">
        <v>207</v>
      </c>
    </row>
    <row r="53" spans="1:7" ht="12.75">
      <c r="A53" s="22">
        <f t="shared" si="1"/>
        <v>41643</v>
      </c>
      <c r="B53" s="15">
        <v>16671748.21</v>
      </c>
      <c r="C53" s="15">
        <v>123602.21</v>
      </c>
      <c r="D53" s="15">
        <f t="shared" si="0"/>
        <v>15183076</v>
      </c>
      <c r="E53" s="15">
        <v>1365070</v>
      </c>
      <c r="F53" s="16">
        <v>940</v>
      </c>
      <c r="G53" s="15">
        <v>207</v>
      </c>
    </row>
    <row r="54" spans="1:7" ht="12.75">
      <c r="A54" s="22">
        <f t="shared" si="1"/>
        <v>41650</v>
      </c>
      <c r="B54" s="15">
        <v>12746843.33</v>
      </c>
      <c r="C54" s="15">
        <v>77927.33</v>
      </c>
      <c r="D54" s="15">
        <f t="shared" si="0"/>
        <v>11641882</v>
      </c>
      <c r="E54" s="15">
        <v>1027034</v>
      </c>
      <c r="F54" s="16">
        <v>940</v>
      </c>
      <c r="G54" s="15">
        <v>156</v>
      </c>
    </row>
    <row r="55" spans="1:7" ht="12.75">
      <c r="A55" s="22">
        <f t="shared" si="1"/>
        <v>41657</v>
      </c>
      <c r="B55" s="15">
        <v>14683225.48</v>
      </c>
      <c r="C55" s="15">
        <v>80658.48</v>
      </c>
      <c r="D55" s="15">
        <f t="shared" si="0"/>
        <v>13367430</v>
      </c>
      <c r="E55" s="15">
        <v>1235137</v>
      </c>
      <c r="F55" s="16">
        <v>940</v>
      </c>
      <c r="G55" s="15">
        <v>188</v>
      </c>
    </row>
    <row r="56" spans="1:7" ht="12.75">
      <c r="A56" s="22">
        <f t="shared" si="1"/>
        <v>41664</v>
      </c>
      <c r="B56" s="15">
        <v>12995042.3</v>
      </c>
      <c r="C56" s="15">
        <v>89478.3</v>
      </c>
      <c r="D56" s="15">
        <f t="shared" si="0"/>
        <v>11847879</v>
      </c>
      <c r="E56" s="15">
        <v>1057685</v>
      </c>
      <c r="F56" s="16">
        <v>940</v>
      </c>
      <c r="G56" s="15">
        <v>161</v>
      </c>
    </row>
    <row r="57" spans="1:7" ht="12.75">
      <c r="A57" s="22">
        <f t="shared" si="1"/>
        <v>41671</v>
      </c>
      <c r="B57" s="15">
        <v>16179072.93</v>
      </c>
      <c r="C57" s="15">
        <f>120872.93-38266</f>
        <v>82606.93</v>
      </c>
      <c r="D57" s="15">
        <f t="shared" si="0"/>
        <v>14764523</v>
      </c>
      <c r="E57" s="15">
        <v>1331943</v>
      </c>
      <c r="F57" s="16">
        <v>940</v>
      </c>
      <c r="G57" s="15">
        <v>202</v>
      </c>
    </row>
    <row r="58" spans="1:7" ht="12.75">
      <c r="A58" s="22">
        <f t="shared" si="1"/>
        <v>41678</v>
      </c>
      <c r="B58" s="15">
        <v>13968108.4</v>
      </c>
      <c r="C58" s="15">
        <f>79651.4+3883</f>
        <v>83534.4</v>
      </c>
      <c r="D58" s="15">
        <f t="shared" si="0"/>
        <v>12713663</v>
      </c>
      <c r="E58" s="15">
        <v>1170911</v>
      </c>
      <c r="F58" s="16">
        <v>940</v>
      </c>
      <c r="G58" s="15">
        <v>178</v>
      </c>
    </row>
    <row r="59" spans="1:7" ht="12.75">
      <c r="A59" s="22">
        <f t="shared" si="1"/>
        <v>41685</v>
      </c>
      <c r="B59" s="15">
        <v>18379766.56</v>
      </c>
      <c r="C59" s="15">
        <v>112917.56</v>
      </c>
      <c r="D59" s="15">
        <f t="shared" si="0"/>
        <v>16825858</v>
      </c>
      <c r="E59" s="15">
        <v>1440991</v>
      </c>
      <c r="F59" s="16">
        <v>940</v>
      </c>
      <c r="G59" s="15">
        <v>219</v>
      </c>
    </row>
    <row r="60" spans="1:7" ht="12.75">
      <c r="A60" s="22">
        <f t="shared" si="1"/>
        <v>41692</v>
      </c>
      <c r="B60" s="15">
        <v>16874078.57</v>
      </c>
      <c r="C60" s="15">
        <v>95278.57</v>
      </c>
      <c r="D60" s="15">
        <f t="shared" si="0"/>
        <v>15432630</v>
      </c>
      <c r="E60" s="15">
        <v>1346170</v>
      </c>
      <c r="F60" s="16">
        <v>940</v>
      </c>
      <c r="G60" s="15">
        <v>205</v>
      </c>
    </row>
    <row r="61" spans="1:7" ht="12.75">
      <c r="A61" s="22">
        <f t="shared" si="1"/>
        <v>41699</v>
      </c>
      <c r="B61" s="15">
        <v>16557817.59</v>
      </c>
      <c r="C61" s="15">
        <f>108586.59-49221</f>
        <v>59365.59</v>
      </c>
      <c r="D61" s="15">
        <f t="shared" si="0"/>
        <v>15131913</v>
      </c>
      <c r="E61" s="15">
        <v>1366539</v>
      </c>
      <c r="F61" s="16">
        <v>940</v>
      </c>
      <c r="G61" s="15">
        <v>208</v>
      </c>
    </row>
    <row r="62" spans="1:7" ht="12.75">
      <c r="A62" s="22">
        <f t="shared" si="1"/>
        <v>41706</v>
      </c>
      <c r="B62" s="15">
        <v>18757246.72</v>
      </c>
      <c r="C62" s="15">
        <v>150659.72</v>
      </c>
      <c r="D62" s="15">
        <f t="shared" si="0"/>
        <v>17099532</v>
      </c>
      <c r="E62" s="15">
        <v>1507055</v>
      </c>
      <c r="F62" s="16">
        <v>940</v>
      </c>
      <c r="G62" s="15">
        <v>229</v>
      </c>
    </row>
    <row r="63" spans="1:7" ht="12.75">
      <c r="A63" s="22">
        <f t="shared" si="1"/>
        <v>41713</v>
      </c>
      <c r="B63" s="15">
        <v>15922797.05</v>
      </c>
      <c r="C63" s="15">
        <f>170974.05+29</f>
        <v>171003.05</v>
      </c>
      <c r="D63" s="15">
        <f t="shared" si="0"/>
        <v>14498987</v>
      </c>
      <c r="E63" s="15">
        <v>1252807</v>
      </c>
      <c r="F63" s="16">
        <v>940</v>
      </c>
      <c r="G63" s="15">
        <v>190</v>
      </c>
    </row>
    <row r="64" spans="1:7" ht="12.75">
      <c r="A64" s="22">
        <f t="shared" si="1"/>
        <v>41720</v>
      </c>
      <c r="B64" s="15">
        <v>18544299.88</v>
      </c>
      <c r="C64" s="15">
        <v>182910.88</v>
      </c>
      <c r="D64" s="15">
        <f t="shared" si="0"/>
        <v>16854512</v>
      </c>
      <c r="E64" s="15">
        <v>1506877</v>
      </c>
      <c r="F64" s="16">
        <v>940</v>
      </c>
      <c r="G64" s="15">
        <v>229</v>
      </c>
    </row>
    <row r="66" spans="1:7" ht="13.5" thickBot="1">
      <c r="A66" s="22" t="s">
        <v>8</v>
      </c>
      <c r="B66" s="17">
        <f>SUM(B13:B64)</f>
        <v>902045865.1199999</v>
      </c>
      <c r="C66" s="17">
        <f>SUM(C13:C64)</f>
        <v>6388834.119999999</v>
      </c>
      <c r="D66" s="17">
        <f>SUM(D13:D64)</f>
        <v>822703730</v>
      </c>
      <c r="E66" s="17">
        <f>SUM(E13:E64)</f>
        <v>72953301</v>
      </c>
      <c r="F66" s="24">
        <f>SUM(F13:F65)/COUNT(F13:F65)</f>
        <v>940</v>
      </c>
      <c r="G66" s="17">
        <f>+E66/SUM(F13:F65)/7</f>
        <v>213.21399637596446</v>
      </c>
    </row>
    <row r="67" spans="1:5" s="21" customFormat="1" ht="13.5" thickTop="1">
      <c r="A67" s="22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33" sqref="B33"/>
    </sheetView>
  </sheetViews>
  <sheetFormatPr defaultColWidth="9.140625" defaultRowHeight="12.75"/>
  <cols>
    <col min="1" max="1" width="15.7109375" style="22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0" s="26" customFormat="1" ht="18">
      <c r="A1" s="42" t="s">
        <v>24</v>
      </c>
      <c r="B1" s="42"/>
      <c r="C1" s="42"/>
      <c r="D1" s="42"/>
      <c r="E1" s="42"/>
      <c r="F1" s="42"/>
      <c r="G1" s="42"/>
      <c r="H1" s="28"/>
      <c r="I1" s="28"/>
      <c r="J1" s="28"/>
    </row>
    <row r="2" spans="1:10" s="26" customFormat="1" ht="15">
      <c r="A2" s="43" t="s">
        <v>19</v>
      </c>
      <c r="B2" s="43"/>
      <c r="C2" s="43"/>
      <c r="D2" s="43"/>
      <c r="E2" s="43"/>
      <c r="F2" s="43"/>
      <c r="G2" s="43"/>
      <c r="H2" s="29"/>
      <c r="I2" s="29"/>
      <c r="J2" s="29"/>
    </row>
    <row r="3" spans="1:10" s="27" customFormat="1" ht="15">
      <c r="A3" s="43" t="s">
        <v>20</v>
      </c>
      <c r="B3" s="43"/>
      <c r="C3" s="43"/>
      <c r="D3" s="43"/>
      <c r="E3" s="43"/>
      <c r="F3" s="43"/>
      <c r="G3" s="43"/>
      <c r="H3" s="29"/>
      <c r="I3" s="29"/>
      <c r="J3" s="29"/>
    </row>
    <row r="4" spans="1:10" s="27" customFormat="1" ht="14.25">
      <c r="A4" s="44" t="s">
        <v>21</v>
      </c>
      <c r="B4" s="44"/>
      <c r="C4" s="44"/>
      <c r="D4" s="44"/>
      <c r="E4" s="44"/>
      <c r="F4" s="44"/>
      <c r="G4" s="44"/>
      <c r="H4" s="32"/>
      <c r="I4" s="30"/>
      <c r="J4" s="30"/>
    </row>
    <row r="5" spans="1:10" s="27" customFormat="1" ht="14.25">
      <c r="A5" s="45" t="s">
        <v>22</v>
      </c>
      <c r="B5" s="45"/>
      <c r="C5" s="45"/>
      <c r="D5" s="45"/>
      <c r="E5" s="45"/>
      <c r="F5" s="45"/>
      <c r="G5" s="45"/>
      <c r="H5" s="31"/>
      <c r="I5" s="31"/>
      <c r="J5" s="31"/>
    </row>
    <row r="6" spans="1:7" s="1" customFormat="1" ht="14.25">
      <c r="A6" s="33"/>
      <c r="B6" s="2"/>
      <c r="C6" s="2"/>
      <c r="D6" s="2"/>
      <c r="E6" s="2"/>
      <c r="F6" s="2"/>
      <c r="G6" s="2"/>
    </row>
    <row r="7" spans="1:7" s="1" customFormat="1" ht="12.75">
      <c r="A7" s="22"/>
      <c r="B7" s="4"/>
      <c r="C7" s="4"/>
      <c r="D7" s="4"/>
      <c r="E7" s="5"/>
      <c r="F7" s="6"/>
      <c r="G7" s="5"/>
    </row>
    <row r="8" spans="1:7" s="7" customFormat="1" ht="14.25" customHeight="1">
      <c r="A8" s="46" t="s">
        <v>27</v>
      </c>
      <c r="B8" s="47"/>
      <c r="C8" s="47"/>
      <c r="D8" s="47"/>
      <c r="E8" s="47"/>
      <c r="F8" s="47"/>
      <c r="G8" s="48"/>
    </row>
    <row r="9" spans="1:7" s="1" customFormat="1" ht="9" customHeight="1">
      <c r="A9" s="22"/>
      <c r="B9" s="4"/>
      <c r="C9" s="4"/>
      <c r="D9" s="4"/>
      <c r="E9" s="5"/>
      <c r="F9" s="6"/>
      <c r="G9" s="5"/>
    </row>
    <row r="10" spans="1:7" s="12" customFormat="1" ht="12">
      <c r="A10" s="34"/>
      <c r="B10" s="10" t="s">
        <v>0</v>
      </c>
      <c r="C10" s="10" t="s">
        <v>26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35" t="s">
        <v>11</v>
      </c>
      <c r="B11" s="8" t="s">
        <v>3</v>
      </c>
      <c r="C11" s="8" t="s">
        <v>28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40999</v>
      </c>
      <c r="B13" s="15">
        <v>22370870.85</v>
      </c>
      <c r="C13" s="15">
        <v>135825.85</v>
      </c>
      <c r="D13" s="15">
        <f aca="true" t="shared" si="0" ref="D13:D64">+B13-C13-E13</f>
        <v>20378943</v>
      </c>
      <c r="E13" s="15">
        <v>1856102</v>
      </c>
      <c r="F13" s="16">
        <v>940</v>
      </c>
      <c r="G13" s="15">
        <v>282</v>
      </c>
    </row>
    <row r="14" spans="1:7" ht="12.75">
      <c r="A14" s="22">
        <f aca="true" t="shared" si="1" ref="A14:A64">+A13+7</f>
        <v>41006</v>
      </c>
      <c r="B14" s="15">
        <v>18591489.9</v>
      </c>
      <c r="C14" s="15">
        <v>112643.9</v>
      </c>
      <c r="D14" s="15">
        <f t="shared" si="0"/>
        <v>16931507</v>
      </c>
      <c r="E14" s="15">
        <v>1547339</v>
      </c>
      <c r="F14" s="16">
        <v>940</v>
      </c>
      <c r="G14" s="15">
        <v>235</v>
      </c>
    </row>
    <row r="15" spans="1:7" ht="12.75">
      <c r="A15" s="22">
        <f t="shared" si="1"/>
        <v>41013</v>
      </c>
      <c r="B15" s="15">
        <v>20114651.42</v>
      </c>
      <c r="C15" s="15">
        <v>-17238.58</v>
      </c>
      <c r="D15" s="15">
        <f t="shared" si="0"/>
        <v>18387855</v>
      </c>
      <c r="E15" s="15">
        <v>1744035</v>
      </c>
      <c r="F15" s="16">
        <v>940</v>
      </c>
      <c r="G15" s="15">
        <v>265</v>
      </c>
    </row>
    <row r="16" spans="1:7" ht="12.75">
      <c r="A16" s="22">
        <f t="shared" si="1"/>
        <v>41020</v>
      </c>
      <c r="B16" s="15">
        <v>20235105.5</v>
      </c>
      <c r="C16" s="15">
        <v>156427.5</v>
      </c>
      <c r="D16" s="15">
        <f t="shared" si="0"/>
        <v>18515560</v>
      </c>
      <c r="E16" s="15">
        <v>1563118</v>
      </c>
      <c r="F16" s="16">
        <v>940</v>
      </c>
      <c r="G16" s="15">
        <v>238</v>
      </c>
    </row>
    <row r="17" spans="1:7" ht="12.75">
      <c r="A17" s="22">
        <f t="shared" si="1"/>
        <v>41027</v>
      </c>
      <c r="B17" s="15">
        <v>20496481</v>
      </c>
      <c r="C17" s="15">
        <v>91771</v>
      </c>
      <c r="D17" s="15">
        <f t="shared" si="0"/>
        <v>18710862</v>
      </c>
      <c r="E17" s="15">
        <v>1693848</v>
      </c>
      <c r="F17" s="16">
        <v>940</v>
      </c>
      <c r="G17" s="15">
        <v>257</v>
      </c>
    </row>
    <row r="18" spans="1:7" ht="12.75">
      <c r="A18" s="22">
        <f t="shared" si="1"/>
        <v>41034</v>
      </c>
      <c r="B18" s="15">
        <v>20732365.13</v>
      </c>
      <c r="C18" s="15">
        <v>123282.13</v>
      </c>
      <c r="D18" s="15">
        <f t="shared" si="0"/>
        <v>18947601</v>
      </c>
      <c r="E18" s="15">
        <v>1661482</v>
      </c>
      <c r="F18" s="16">
        <v>940</v>
      </c>
      <c r="G18" s="15">
        <v>253</v>
      </c>
    </row>
    <row r="19" spans="1:7" ht="12.75">
      <c r="A19" s="22">
        <f t="shared" si="1"/>
        <v>41041</v>
      </c>
      <c r="B19" s="15">
        <v>20438469.25</v>
      </c>
      <c r="C19" s="15">
        <v>138693.25</v>
      </c>
      <c r="D19" s="15">
        <f t="shared" si="0"/>
        <v>18599170</v>
      </c>
      <c r="E19" s="15">
        <v>1700606</v>
      </c>
      <c r="F19" s="16">
        <v>940</v>
      </c>
      <c r="G19" s="15">
        <v>258</v>
      </c>
    </row>
    <row r="20" spans="1:7" ht="12.75">
      <c r="A20" s="22">
        <f t="shared" si="1"/>
        <v>41048</v>
      </c>
      <c r="B20" s="15">
        <v>19558012.58</v>
      </c>
      <c r="C20" s="15">
        <v>245305.58</v>
      </c>
      <c r="D20" s="15">
        <f t="shared" si="0"/>
        <v>17845086</v>
      </c>
      <c r="E20" s="15">
        <v>1467621</v>
      </c>
      <c r="F20" s="16">
        <v>940</v>
      </c>
      <c r="G20" s="15">
        <v>223</v>
      </c>
    </row>
    <row r="21" spans="1:7" ht="12.75">
      <c r="A21" s="22">
        <f t="shared" si="1"/>
        <v>41055</v>
      </c>
      <c r="B21" s="15">
        <v>19470125.75</v>
      </c>
      <c r="C21" s="15">
        <v>130415.75</v>
      </c>
      <c r="D21" s="15">
        <f t="shared" si="0"/>
        <v>17825874</v>
      </c>
      <c r="E21" s="15">
        <v>1513836</v>
      </c>
      <c r="F21" s="16">
        <v>940</v>
      </c>
      <c r="G21" s="15">
        <v>230</v>
      </c>
    </row>
    <row r="22" spans="1:7" ht="12.75">
      <c r="A22" s="22">
        <f t="shared" si="1"/>
        <v>41062</v>
      </c>
      <c r="B22" s="15">
        <v>19702559.49</v>
      </c>
      <c r="C22" s="15">
        <v>131846.49</v>
      </c>
      <c r="D22" s="15">
        <f t="shared" si="0"/>
        <v>17962935</v>
      </c>
      <c r="E22" s="15">
        <v>1607778</v>
      </c>
      <c r="F22" s="16">
        <v>940</v>
      </c>
      <c r="G22" s="15">
        <v>244</v>
      </c>
    </row>
    <row r="23" spans="1:7" ht="12.75">
      <c r="A23" s="22">
        <f t="shared" si="1"/>
        <v>41069</v>
      </c>
      <c r="B23" s="15">
        <v>19986287.83</v>
      </c>
      <c r="C23" s="15">
        <v>106102.83</v>
      </c>
      <c r="D23" s="15">
        <f t="shared" si="0"/>
        <v>18165400</v>
      </c>
      <c r="E23" s="15">
        <v>1714785</v>
      </c>
      <c r="F23" s="16">
        <v>940</v>
      </c>
      <c r="G23" s="15">
        <v>261</v>
      </c>
    </row>
    <row r="24" spans="1:7" ht="12.75">
      <c r="A24" s="22">
        <f t="shared" si="1"/>
        <v>41076</v>
      </c>
      <c r="B24" s="15">
        <v>18546470.76</v>
      </c>
      <c r="C24" s="15">
        <v>124354.76</v>
      </c>
      <c r="D24" s="15">
        <f t="shared" si="0"/>
        <v>16896028</v>
      </c>
      <c r="E24" s="15">
        <v>1526088</v>
      </c>
      <c r="F24" s="16">
        <v>940</v>
      </c>
      <c r="G24" s="15">
        <v>232</v>
      </c>
    </row>
    <row r="25" spans="1:7" ht="12.75">
      <c r="A25" s="22">
        <f t="shared" si="1"/>
        <v>41083</v>
      </c>
      <c r="B25" s="15">
        <v>18234722.26</v>
      </c>
      <c r="C25" s="15">
        <v>110304.26</v>
      </c>
      <c r="D25" s="15">
        <f t="shared" si="0"/>
        <v>16654763</v>
      </c>
      <c r="E25" s="15">
        <v>1469655</v>
      </c>
      <c r="F25" s="16">
        <v>940</v>
      </c>
      <c r="G25" s="15">
        <v>223</v>
      </c>
    </row>
    <row r="26" spans="1:7" ht="12.75">
      <c r="A26" s="22">
        <f t="shared" si="1"/>
        <v>41090</v>
      </c>
      <c r="B26" s="15">
        <v>21351027.64</v>
      </c>
      <c r="C26" s="15">
        <v>95379.64</v>
      </c>
      <c r="D26" s="15">
        <f t="shared" si="0"/>
        <v>19461034</v>
      </c>
      <c r="E26" s="15">
        <v>1794614</v>
      </c>
      <c r="F26" s="16">
        <v>940</v>
      </c>
      <c r="G26" s="15">
        <v>273</v>
      </c>
    </row>
    <row r="27" spans="1:7" ht="12.75">
      <c r="A27" s="22">
        <f t="shared" si="1"/>
        <v>41097</v>
      </c>
      <c r="B27" s="15">
        <v>20165859.85</v>
      </c>
      <c r="C27" s="15">
        <v>102386.85</v>
      </c>
      <c r="D27" s="15">
        <f t="shared" si="0"/>
        <v>18353799</v>
      </c>
      <c r="E27" s="15">
        <v>1709674</v>
      </c>
      <c r="F27" s="16">
        <v>940</v>
      </c>
      <c r="G27" s="15">
        <v>260</v>
      </c>
    </row>
    <row r="28" spans="1:7" ht="12.75">
      <c r="A28" s="22">
        <f t="shared" si="1"/>
        <v>41104</v>
      </c>
      <c r="B28" s="15">
        <v>20010637.14</v>
      </c>
      <c r="C28" s="15">
        <v>30172.14</v>
      </c>
      <c r="D28" s="15">
        <f t="shared" si="0"/>
        <v>18248794</v>
      </c>
      <c r="E28" s="15">
        <v>1731671</v>
      </c>
      <c r="F28" s="16">
        <v>940</v>
      </c>
      <c r="G28" s="15">
        <v>263</v>
      </c>
    </row>
    <row r="29" spans="1:7" ht="12.75">
      <c r="A29" s="22">
        <f t="shared" si="1"/>
        <v>41111</v>
      </c>
      <c r="B29" s="15">
        <v>19478334.05</v>
      </c>
      <c r="C29" s="15">
        <v>122737.05</v>
      </c>
      <c r="D29" s="15">
        <f t="shared" si="0"/>
        <v>17820651</v>
      </c>
      <c r="E29" s="15">
        <v>1534946</v>
      </c>
      <c r="F29" s="16">
        <v>940</v>
      </c>
      <c r="G29" s="15">
        <v>233</v>
      </c>
    </row>
    <row r="30" spans="1:7" ht="12.75">
      <c r="A30" s="22">
        <f t="shared" si="1"/>
        <v>41118</v>
      </c>
      <c r="B30" s="15">
        <v>19940479.35</v>
      </c>
      <c r="C30" s="15">
        <v>139798.35</v>
      </c>
      <c r="D30" s="15">
        <f t="shared" si="0"/>
        <v>18126710</v>
      </c>
      <c r="E30" s="15">
        <v>1673971</v>
      </c>
      <c r="F30" s="16">
        <v>940</v>
      </c>
      <c r="G30" s="15">
        <v>254</v>
      </c>
    </row>
    <row r="31" spans="1:7" ht="12.75">
      <c r="A31" s="22">
        <f t="shared" si="1"/>
        <v>41125</v>
      </c>
      <c r="B31" s="15">
        <v>19280458.6</v>
      </c>
      <c r="C31" s="15">
        <v>110458.6</v>
      </c>
      <c r="D31" s="15">
        <f t="shared" si="0"/>
        <v>17635185</v>
      </c>
      <c r="E31" s="15">
        <v>1534815</v>
      </c>
      <c r="F31" s="16">
        <v>940</v>
      </c>
      <c r="G31" s="15">
        <v>233</v>
      </c>
    </row>
    <row r="32" spans="1:7" ht="12.75">
      <c r="A32" s="22">
        <f t="shared" si="1"/>
        <v>41132</v>
      </c>
      <c r="B32" s="15">
        <v>14321348.27</v>
      </c>
      <c r="C32" s="15">
        <v>85071.27</v>
      </c>
      <c r="D32" s="15">
        <f t="shared" si="0"/>
        <v>13072609</v>
      </c>
      <c r="E32" s="15">
        <v>1163668</v>
      </c>
      <c r="F32" s="16">
        <v>940</v>
      </c>
      <c r="G32" s="15">
        <v>177</v>
      </c>
    </row>
    <row r="33" spans="1:7" ht="12.75">
      <c r="A33" s="22">
        <f t="shared" si="1"/>
        <v>41139</v>
      </c>
      <c r="B33" s="15">
        <v>12782633.38</v>
      </c>
      <c r="C33" s="15">
        <v>59031.38</v>
      </c>
      <c r="D33" s="15">
        <f t="shared" si="0"/>
        <v>11604586</v>
      </c>
      <c r="E33" s="15">
        <v>1119016</v>
      </c>
      <c r="F33" s="16">
        <v>940</v>
      </c>
      <c r="G33" s="15">
        <v>170</v>
      </c>
    </row>
    <row r="34" spans="1:7" ht="12.75">
      <c r="A34" s="22">
        <f t="shared" si="1"/>
        <v>41146</v>
      </c>
      <c r="B34" s="15">
        <v>18367098.14</v>
      </c>
      <c r="C34" s="15">
        <v>126676.14</v>
      </c>
      <c r="D34" s="15">
        <f t="shared" si="0"/>
        <v>16748389</v>
      </c>
      <c r="E34" s="15">
        <v>1492033</v>
      </c>
      <c r="F34" s="16">
        <v>940</v>
      </c>
      <c r="G34" s="15">
        <v>227</v>
      </c>
    </row>
    <row r="35" spans="1:7" ht="12.75">
      <c r="A35" s="22">
        <f t="shared" si="1"/>
        <v>41153</v>
      </c>
      <c r="B35" s="15">
        <v>21724473.03</v>
      </c>
      <c r="C35" s="15">
        <v>118185.03</v>
      </c>
      <c r="D35" s="15">
        <f t="shared" si="0"/>
        <v>19897481</v>
      </c>
      <c r="E35" s="15">
        <v>1708807</v>
      </c>
      <c r="F35" s="16">
        <v>940</v>
      </c>
      <c r="G35" s="15">
        <v>260</v>
      </c>
    </row>
    <row r="36" spans="1:7" ht="12.75">
      <c r="A36" s="22">
        <f t="shared" si="1"/>
        <v>41160</v>
      </c>
      <c r="B36" s="15">
        <v>21438851.24</v>
      </c>
      <c r="C36" s="15">
        <v>177521.24</v>
      </c>
      <c r="D36" s="15">
        <f t="shared" si="0"/>
        <v>19535019</v>
      </c>
      <c r="E36" s="15">
        <v>1726311</v>
      </c>
      <c r="F36" s="16">
        <v>940</v>
      </c>
      <c r="G36" s="15">
        <v>262</v>
      </c>
    </row>
    <row r="37" spans="1:7" ht="12.75">
      <c r="A37" s="22">
        <f t="shared" si="1"/>
        <v>41167</v>
      </c>
      <c r="B37" s="15">
        <v>19450644.18</v>
      </c>
      <c r="C37" s="15">
        <v>60428.18</v>
      </c>
      <c r="D37" s="15">
        <f t="shared" si="0"/>
        <v>17709220</v>
      </c>
      <c r="E37" s="15">
        <v>1680996</v>
      </c>
      <c r="F37" s="16">
        <v>940</v>
      </c>
      <c r="G37" s="15">
        <v>255</v>
      </c>
    </row>
    <row r="38" spans="1:7" ht="12.75">
      <c r="A38" s="22">
        <f t="shared" si="1"/>
        <v>41174</v>
      </c>
      <c r="B38" s="15">
        <v>19239066.94</v>
      </c>
      <c r="C38" s="15">
        <v>111391.94</v>
      </c>
      <c r="D38" s="15">
        <f t="shared" si="0"/>
        <v>17513501</v>
      </c>
      <c r="E38" s="15">
        <v>1614174</v>
      </c>
      <c r="F38" s="16">
        <f>6580/7</f>
        <v>940</v>
      </c>
      <c r="G38" s="15">
        <v>245</v>
      </c>
    </row>
    <row r="39" spans="1:7" ht="12.75">
      <c r="A39" s="22">
        <f t="shared" si="1"/>
        <v>41181</v>
      </c>
      <c r="B39" s="15">
        <v>19199801.55</v>
      </c>
      <c r="C39" s="15">
        <v>168058.55</v>
      </c>
      <c r="D39" s="15">
        <f t="shared" si="0"/>
        <v>17557828</v>
      </c>
      <c r="E39" s="15">
        <v>1473915</v>
      </c>
      <c r="F39" s="16">
        <f>6580/7</f>
        <v>940</v>
      </c>
      <c r="G39" s="15">
        <v>224</v>
      </c>
    </row>
    <row r="40" spans="1:7" ht="12.75">
      <c r="A40" s="22">
        <f t="shared" si="1"/>
        <v>41188</v>
      </c>
      <c r="B40" s="15">
        <v>18676905.82</v>
      </c>
      <c r="C40" s="15">
        <v>128568.82</v>
      </c>
      <c r="D40" s="15">
        <f t="shared" si="0"/>
        <v>17049448</v>
      </c>
      <c r="E40" s="15">
        <v>1498889</v>
      </c>
      <c r="F40" s="16">
        <v>940</v>
      </c>
      <c r="G40" s="15">
        <v>228</v>
      </c>
    </row>
    <row r="41" spans="1:7" ht="12.75">
      <c r="A41" s="22">
        <f t="shared" si="1"/>
        <v>41195</v>
      </c>
      <c r="B41" s="15">
        <v>18202229.3</v>
      </c>
      <c r="C41" s="15">
        <v>112186.3</v>
      </c>
      <c r="D41" s="15">
        <f t="shared" si="0"/>
        <v>16564496</v>
      </c>
      <c r="E41" s="15">
        <v>1525547</v>
      </c>
      <c r="F41" s="16">
        <f>6580/7</f>
        <v>940</v>
      </c>
      <c r="G41" s="15">
        <v>232</v>
      </c>
    </row>
    <row r="42" spans="1:7" ht="12.75">
      <c r="A42" s="22">
        <f t="shared" si="1"/>
        <v>41202</v>
      </c>
      <c r="B42" s="15">
        <v>19663258.57</v>
      </c>
      <c r="C42" s="15">
        <v>121259.57</v>
      </c>
      <c r="D42" s="15">
        <f t="shared" si="0"/>
        <v>17973333</v>
      </c>
      <c r="E42" s="15">
        <v>1568666</v>
      </c>
      <c r="F42" s="16">
        <f>6580/7</f>
        <v>940</v>
      </c>
      <c r="G42" s="15">
        <v>238</v>
      </c>
    </row>
    <row r="43" spans="1:7" ht="12.75">
      <c r="A43" s="22">
        <f t="shared" si="1"/>
        <v>41209</v>
      </c>
      <c r="B43" s="15">
        <v>18588382.17</v>
      </c>
      <c r="C43" s="15">
        <v>165804.17</v>
      </c>
      <c r="D43" s="15">
        <f t="shared" si="0"/>
        <v>16948395</v>
      </c>
      <c r="E43" s="15">
        <v>1474183</v>
      </c>
      <c r="F43" s="16">
        <v>940</v>
      </c>
      <c r="G43" s="15">
        <v>224</v>
      </c>
    </row>
    <row r="44" spans="1:7" ht="12.75">
      <c r="A44" s="22">
        <f t="shared" si="1"/>
        <v>41216</v>
      </c>
      <c r="B44" s="15">
        <v>19247602.16</v>
      </c>
      <c r="C44" s="15">
        <v>117865.16</v>
      </c>
      <c r="D44" s="15">
        <f t="shared" si="0"/>
        <v>17539347</v>
      </c>
      <c r="E44" s="15">
        <v>1590390</v>
      </c>
      <c r="F44" s="16">
        <v>940</v>
      </c>
      <c r="G44" s="15">
        <v>242</v>
      </c>
    </row>
    <row r="45" spans="1:7" ht="12.75">
      <c r="A45" s="22">
        <f t="shared" si="1"/>
        <v>41223</v>
      </c>
      <c r="B45" s="15">
        <v>20837088.14</v>
      </c>
      <c r="C45" s="15">
        <v>92869.14</v>
      </c>
      <c r="D45" s="15">
        <f t="shared" si="0"/>
        <v>19019745</v>
      </c>
      <c r="E45" s="15">
        <v>1724474</v>
      </c>
      <c r="F45" s="16">
        <v>940</v>
      </c>
      <c r="G45" s="15">
        <v>262</v>
      </c>
    </row>
    <row r="46" spans="1:7" ht="12.75">
      <c r="A46" s="22">
        <f t="shared" si="1"/>
        <v>41230</v>
      </c>
      <c r="B46" s="15">
        <v>17659645.07</v>
      </c>
      <c r="C46" s="15">
        <v>139112.07</v>
      </c>
      <c r="D46" s="15">
        <f t="shared" si="0"/>
        <v>16054065</v>
      </c>
      <c r="E46" s="15">
        <v>1466468</v>
      </c>
      <c r="F46" s="16">
        <v>940</v>
      </c>
      <c r="G46" s="15">
        <v>223</v>
      </c>
    </row>
    <row r="47" spans="1:7" ht="12.75">
      <c r="A47" s="22">
        <f t="shared" si="1"/>
        <v>41237</v>
      </c>
      <c r="B47" s="15">
        <v>18076091.3</v>
      </c>
      <c r="C47" s="15">
        <v>153848.3</v>
      </c>
      <c r="D47" s="15">
        <f t="shared" si="0"/>
        <v>16423649</v>
      </c>
      <c r="E47" s="15">
        <v>1498594</v>
      </c>
      <c r="F47" s="16">
        <f>6580/7</f>
        <v>940</v>
      </c>
      <c r="G47" s="15">
        <v>228</v>
      </c>
    </row>
    <row r="48" spans="1:7" ht="12.75">
      <c r="A48" s="22">
        <f t="shared" si="1"/>
        <v>41244</v>
      </c>
      <c r="B48" s="15">
        <v>16832823.78</v>
      </c>
      <c r="C48" s="15">
        <v>114969.78</v>
      </c>
      <c r="D48" s="15">
        <f t="shared" si="0"/>
        <v>15383822.000000002</v>
      </c>
      <c r="E48" s="15">
        <v>1334032</v>
      </c>
      <c r="F48" s="16">
        <v>940</v>
      </c>
      <c r="G48" s="15">
        <v>203</v>
      </c>
    </row>
    <row r="49" spans="1:7" ht="12.75">
      <c r="A49" s="22">
        <f t="shared" si="1"/>
        <v>41251</v>
      </c>
      <c r="B49" s="15">
        <v>19428934.23</v>
      </c>
      <c r="C49" s="15">
        <v>134071.23</v>
      </c>
      <c r="D49" s="15">
        <f t="shared" si="0"/>
        <v>17641222</v>
      </c>
      <c r="E49" s="15">
        <v>1653641</v>
      </c>
      <c r="F49" s="16">
        <v>940</v>
      </c>
      <c r="G49" s="15">
        <v>251</v>
      </c>
    </row>
    <row r="50" spans="1:7" ht="12.75">
      <c r="A50" s="22">
        <f t="shared" si="1"/>
        <v>41258</v>
      </c>
      <c r="B50" s="15">
        <v>17544991.85</v>
      </c>
      <c r="C50" s="15">
        <v>112578.85</v>
      </c>
      <c r="D50" s="15">
        <f t="shared" si="0"/>
        <v>15954708</v>
      </c>
      <c r="E50" s="15">
        <v>1477705</v>
      </c>
      <c r="F50" s="16">
        <v>940</v>
      </c>
      <c r="G50" s="15">
        <v>225</v>
      </c>
    </row>
    <row r="51" spans="1:7" ht="12.75">
      <c r="A51" s="22">
        <f t="shared" si="1"/>
        <v>41265</v>
      </c>
      <c r="B51" s="15">
        <v>17819742.29</v>
      </c>
      <c r="C51" s="15">
        <v>300855.29</v>
      </c>
      <c r="D51" s="15">
        <f t="shared" si="0"/>
        <v>16260440</v>
      </c>
      <c r="E51" s="15">
        <v>1258447</v>
      </c>
      <c r="F51" s="16">
        <v>940</v>
      </c>
      <c r="G51" s="15">
        <v>191</v>
      </c>
    </row>
    <row r="52" spans="1:7" ht="12.75">
      <c r="A52" s="22">
        <f t="shared" si="1"/>
        <v>41272</v>
      </c>
      <c r="B52" s="15">
        <v>15327864.71</v>
      </c>
      <c r="C52" s="15">
        <v>108773.71</v>
      </c>
      <c r="D52" s="15">
        <f t="shared" si="0"/>
        <v>13991869</v>
      </c>
      <c r="E52" s="15">
        <v>1227222</v>
      </c>
      <c r="F52" s="16">
        <f>6580/7</f>
        <v>940</v>
      </c>
      <c r="G52" s="15">
        <v>187</v>
      </c>
    </row>
    <row r="53" spans="1:7" ht="12.75">
      <c r="A53" s="22">
        <f t="shared" si="1"/>
        <v>41279</v>
      </c>
      <c r="B53" s="15">
        <v>20751251.09</v>
      </c>
      <c r="C53" s="15">
        <v>135577.09</v>
      </c>
      <c r="D53" s="15">
        <f t="shared" si="0"/>
        <v>18852398</v>
      </c>
      <c r="E53" s="15">
        <v>1763276</v>
      </c>
      <c r="F53" s="16">
        <v>940</v>
      </c>
      <c r="G53" s="15">
        <v>268</v>
      </c>
    </row>
    <row r="54" spans="1:7" ht="12.75">
      <c r="A54" s="22">
        <f t="shared" si="1"/>
        <v>41286</v>
      </c>
      <c r="B54" s="15">
        <v>18100004.61</v>
      </c>
      <c r="C54" s="15">
        <v>96485.61</v>
      </c>
      <c r="D54" s="15">
        <f t="shared" si="0"/>
        <v>16515690</v>
      </c>
      <c r="E54" s="15">
        <v>1487829</v>
      </c>
      <c r="F54" s="16">
        <v>940</v>
      </c>
      <c r="G54" s="15">
        <v>226</v>
      </c>
    </row>
    <row r="55" spans="1:7" ht="12.75">
      <c r="A55" s="22">
        <f t="shared" si="1"/>
        <v>41293</v>
      </c>
      <c r="B55" s="15">
        <v>17665602.85</v>
      </c>
      <c r="C55" s="15">
        <v>139240.85</v>
      </c>
      <c r="D55" s="15">
        <f t="shared" si="0"/>
        <v>16081140</v>
      </c>
      <c r="E55" s="15">
        <v>1445222</v>
      </c>
      <c r="F55" s="16">
        <v>940</v>
      </c>
      <c r="G55" s="15">
        <v>220</v>
      </c>
    </row>
    <row r="56" spans="1:7" ht="12.75">
      <c r="A56" s="22">
        <f t="shared" si="1"/>
        <v>41300</v>
      </c>
      <c r="B56" s="15">
        <v>18161402.6</v>
      </c>
      <c r="C56" s="15">
        <v>131147.6</v>
      </c>
      <c r="D56" s="15">
        <f t="shared" si="0"/>
        <v>16633002</v>
      </c>
      <c r="E56" s="15">
        <v>1397253</v>
      </c>
      <c r="F56" s="16">
        <v>940</v>
      </c>
      <c r="G56" s="15">
        <v>212</v>
      </c>
    </row>
    <row r="57" spans="1:7" ht="12.75">
      <c r="A57" s="22">
        <f t="shared" si="1"/>
        <v>41307</v>
      </c>
      <c r="B57" s="15">
        <v>16539094.65</v>
      </c>
      <c r="C57" s="15">
        <v>-11317.35</v>
      </c>
      <c r="D57" s="15">
        <f t="shared" si="0"/>
        <v>15096297</v>
      </c>
      <c r="E57" s="15">
        <v>1454115</v>
      </c>
      <c r="F57" s="16">
        <v>940</v>
      </c>
      <c r="G57" s="15">
        <v>221</v>
      </c>
    </row>
    <row r="58" spans="1:7" ht="12.75">
      <c r="A58" s="22">
        <f t="shared" si="1"/>
        <v>41314</v>
      </c>
      <c r="B58" s="15">
        <v>19123116.41</v>
      </c>
      <c r="C58" s="15">
        <v>170848.41</v>
      </c>
      <c r="D58" s="15">
        <f t="shared" si="0"/>
        <v>17439767</v>
      </c>
      <c r="E58" s="15">
        <v>1512501</v>
      </c>
      <c r="F58" s="16">
        <v>940</v>
      </c>
      <c r="G58" s="15">
        <v>230</v>
      </c>
    </row>
    <row r="59" spans="1:7" ht="12.75">
      <c r="A59" s="22">
        <f t="shared" si="1"/>
        <v>41321</v>
      </c>
      <c r="B59" s="15">
        <v>21305172.94</v>
      </c>
      <c r="C59" s="15">
        <v>307168.94</v>
      </c>
      <c r="D59" s="15">
        <f t="shared" si="0"/>
        <v>19481299</v>
      </c>
      <c r="E59" s="15">
        <v>1516705</v>
      </c>
      <c r="F59" s="16">
        <v>940</v>
      </c>
      <c r="G59" s="15">
        <v>231</v>
      </c>
    </row>
    <row r="60" spans="1:7" ht="12.75">
      <c r="A60" s="22">
        <f t="shared" si="1"/>
        <v>41328</v>
      </c>
      <c r="B60" s="15">
        <v>18873355.62</v>
      </c>
      <c r="C60" s="15">
        <v>144070.62</v>
      </c>
      <c r="D60" s="15">
        <f t="shared" si="0"/>
        <v>17200431</v>
      </c>
      <c r="E60" s="15">
        <v>1528854</v>
      </c>
      <c r="F60" s="16">
        <v>940</v>
      </c>
      <c r="G60" s="15">
        <v>232</v>
      </c>
    </row>
    <row r="61" spans="1:7" ht="12.75">
      <c r="A61" s="22">
        <f t="shared" si="1"/>
        <v>41335</v>
      </c>
      <c r="B61" s="15">
        <v>23779589.43</v>
      </c>
      <c r="C61" s="15">
        <v>173027.43</v>
      </c>
      <c r="D61" s="15">
        <f t="shared" si="0"/>
        <v>21648022</v>
      </c>
      <c r="E61" s="15">
        <v>1958540</v>
      </c>
      <c r="F61" s="16">
        <v>940</v>
      </c>
      <c r="G61" s="15">
        <v>298</v>
      </c>
    </row>
    <row r="62" spans="1:7" ht="12.75">
      <c r="A62" s="22">
        <f t="shared" si="1"/>
        <v>41342</v>
      </c>
      <c r="B62" s="15">
        <v>21501426.4</v>
      </c>
      <c r="C62" s="15">
        <v>163010.4</v>
      </c>
      <c r="D62" s="15">
        <f t="shared" si="0"/>
        <v>19505537</v>
      </c>
      <c r="E62" s="15">
        <v>1832879</v>
      </c>
      <c r="F62" s="16">
        <v>940</v>
      </c>
      <c r="G62" s="15">
        <v>279</v>
      </c>
    </row>
    <row r="63" spans="1:7" ht="12.75">
      <c r="A63" s="22">
        <f t="shared" si="1"/>
        <v>41349</v>
      </c>
      <c r="B63" s="15">
        <v>23200764.63</v>
      </c>
      <c r="C63" s="15">
        <v>174970.63</v>
      </c>
      <c r="D63" s="15">
        <f t="shared" si="0"/>
        <v>21161701</v>
      </c>
      <c r="E63" s="15">
        <v>1864093</v>
      </c>
      <c r="F63" s="16">
        <v>940</v>
      </c>
      <c r="G63" s="15">
        <v>283</v>
      </c>
    </row>
    <row r="64" spans="1:7" ht="12.75">
      <c r="A64" s="22">
        <f t="shared" si="1"/>
        <v>41356</v>
      </c>
      <c r="B64" s="15">
        <v>20403845.77</v>
      </c>
      <c r="C64" s="15">
        <v>227590.77</v>
      </c>
      <c r="D64" s="15">
        <f t="shared" si="0"/>
        <v>18609395</v>
      </c>
      <c r="E64" s="15">
        <v>1566860</v>
      </c>
      <c r="F64" s="16">
        <v>940</v>
      </c>
      <c r="G64" s="15">
        <v>238</v>
      </c>
    </row>
    <row r="66" spans="1:7" ht="13.5" thickBot="1">
      <c r="A66" s="22" t="s">
        <v>8</v>
      </c>
      <c r="B66" s="17">
        <f>SUM(B13:B64)</f>
        <v>1002538511.4699999</v>
      </c>
      <c r="C66" s="17">
        <f>SUM(C13:C64)</f>
        <v>6751614.47</v>
      </c>
      <c r="D66" s="17">
        <f>SUM(D13:D64)</f>
        <v>914135608</v>
      </c>
      <c r="E66" s="17">
        <f>SUM(E13:E64)</f>
        <v>81651289</v>
      </c>
      <c r="F66" s="24">
        <f>SUM(F13:F65)/COUNT(F13:F65)</f>
        <v>940</v>
      </c>
      <c r="G66" s="17">
        <f>+E66/SUM(F13:F65)/7</f>
        <v>238.63481704465747</v>
      </c>
    </row>
    <row r="67" spans="1:5" s="21" customFormat="1" ht="13.5" thickTop="1">
      <c r="A67" s="22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15.7109375" style="22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0" s="26" customFormat="1" ht="18">
      <c r="A1" s="42" t="s">
        <v>24</v>
      </c>
      <c r="B1" s="42"/>
      <c r="C1" s="42"/>
      <c r="D1" s="42"/>
      <c r="E1" s="42"/>
      <c r="F1" s="42"/>
      <c r="G1" s="42"/>
      <c r="H1" s="28"/>
      <c r="I1" s="28"/>
      <c r="J1" s="28"/>
    </row>
    <row r="2" spans="1:10" s="26" customFormat="1" ht="15">
      <c r="A2" s="43" t="s">
        <v>19</v>
      </c>
      <c r="B2" s="43"/>
      <c r="C2" s="43"/>
      <c r="D2" s="43"/>
      <c r="E2" s="43"/>
      <c r="F2" s="43"/>
      <c r="G2" s="43"/>
      <c r="H2" s="29"/>
      <c r="I2" s="29"/>
      <c r="J2" s="29"/>
    </row>
    <row r="3" spans="1:10" s="27" customFormat="1" ht="15">
      <c r="A3" s="43" t="s">
        <v>20</v>
      </c>
      <c r="B3" s="43"/>
      <c r="C3" s="43"/>
      <c r="D3" s="43"/>
      <c r="E3" s="43"/>
      <c r="F3" s="43"/>
      <c r="G3" s="43"/>
      <c r="H3" s="29"/>
      <c r="I3" s="29"/>
      <c r="J3" s="29"/>
    </row>
    <row r="4" spans="1:10" s="27" customFormat="1" ht="14.25">
      <c r="A4" s="44" t="s">
        <v>21</v>
      </c>
      <c r="B4" s="44"/>
      <c r="C4" s="44"/>
      <c r="D4" s="44"/>
      <c r="E4" s="44"/>
      <c r="F4" s="44"/>
      <c r="G4" s="44"/>
      <c r="H4" s="32"/>
      <c r="I4" s="30"/>
      <c r="J4" s="30"/>
    </row>
    <row r="5" spans="1:10" s="27" customFormat="1" ht="14.25">
      <c r="A5" s="45" t="s">
        <v>22</v>
      </c>
      <c r="B5" s="45"/>
      <c r="C5" s="45"/>
      <c r="D5" s="45"/>
      <c r="E5" s="45"/>
      <c r="F5" s="45"/>
      <c r="G5" s="45"/>
      <c r="H5" s="31"/>
      <c r="I5" s="31"/>
      <c r="J5" s="31"/>
    </row>
    <row r="6" spans="1:7" s="1" customFormat="1" ht="14.25">
      <c r="A6" s="33"/>
      <c r="B6" s="2"/>
      <c r="C6" s="2"/>
      <c r="D6" s="2"/>
      <c r="E6" s="2"/>
      <c r="F6" s="2"/>
      <c r="G6" s="2"/>
    </row>
    <row r="7" spans="1:7" s="1" customFormat="1" ht="12.75">
      <c r="A7" s="22"/>
      <c r="B7" s="4"/>
      <c r="C7" s="4"/>
      <c r="D7" s="4"/>
      <c r="E7" s="5"/>
      <c r="F7" s="6"/>
      <c r="G7" s="5"/>
    </row>
    <row r="8" spans="1:7" s="7" customFormat="1" ht="14.25" customHeight="1">
      <c r="A8" s="46" t="s">
        <v>25</v>
      </c>
      <c r="B8" s="47"/>
      <c r="C8" s="47"/>
      <c r="D8" s="47"/>
      <c r="E8" s="47"/>
      <c r="F8" s="47"/>
      <c r="G8" s="48"/>
    </row>
    <row r="9" spans="1:7" s="1" customFormat="1" ht="9" customHeight="1">
      <c r="A9" s="22"/>
      <c r="B9" s="4"/>
      <c r="C9" s="4"/>
      <c r="D9" s="4"/>
      <c r="E9" s="5"/>
      <c r="F9" s="6"/>
      <c r="G9" s="5"/>
    </row>
    <row r="10" spans="1:7" s="12" customFormat="1" ht="12">
      <c r="A10" s="34"/>
      <c r="B10" s="10" t="s">
        <v>0</v>
      </c>
      <c r="C10" s="10" t="s">
        <v>26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35" t="s">
        <v>11</v>
      </c>
      <c r="B11" s="8" t="s">
        <v>3</v>
      </c>
      <c r="C11" s="8" t="s">
        <v>28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40635</v>
      </c>
      <c r="B13" s="15">
        <v>17675858</v>
      </c>
      <c r="C13" s="15">
        <v>0</v>
      </c>
      <c r="D13" s="15">
        <f aca="true" t="shared" si="0" ref="D13:D64">+B13-C13-E13</f>
        <v>16134747</v>
      </c>
      <c r="E13" s="15">
        <v>1541111</v>
      </c>
      <c r="F13" s="16">
        <v>939</v>
      </c>
      <c r="G13" s="15">
        <v>234</v>
      </c>
    </row>
    <row r="14" spans="1:7" ht="12.75">
      <c r="A14" s="22">
        <f aca="true" t="shared" si="1" ref="A14:A45">+A13+7</f>
        <v>40642</v>
      </c>
      <c r="B14" s="15">
        <v>17914896.78</v>
      </c>
      <c r="C14" s="15">
        <v>61944.78</v>
      </c>
      <c r="D14" s="15">
        <f t="shared" si="0"/>
        <v>16348448</v>
      </c>
      <c r="E14" s="15">
        <v>1504504</v>
      </c>
      <c r="F14" s="16">
        <v>939</v>
      </c>
      <c r="G14" s="15">
        <v>229</v>
      </c>
    </row>
    <row r="15" spans="1:7" ht="12.75">
      <c r="A15" s="22">
        <f t="shared" si="1"/>
        <v>40649</v>
      </c>
      <c r="B15" s="15">
        <v>17482334.47</v>
      </c>
      <c r="C15" s="15">
        <v>42806.47</v>
      </c>
      <c r="D15" s="15">
        <f t="shared" si="0"/>
        <v>16032307</v>
      </c>
      <c r="E15" s="15">
        <v>1407221</v>
      </c>
      <c r="F15" s="16">
        <v>939</v>
      </c>
      <c r="G15" s="15">
        <v>214</v>
      </c>
    </row>
    <row r="16" spans="1:7" ht="12.75">
      <c r="A16" s="22">
        <f t="shared" si="1"/>
        <v>40656</v>
      </c>
      <c r="B16" s="15">
        <v>17765314.53</v>
      </c>
      <c r="C16" s="15">
        <v>26441.53</v>
      </c>
      <c r="D16" s="15">
        <f t="shared" si="0"/>
        <v>16165345</v>
      </c>
      <c r="E16" s="15">
        <v>1573528</v>
      </c>
      <c r="F16" s="16">
        <v>939</v>
      </c>
      <c r="G16" s="15">
        <v>239</v>
      </c>
    </row>
    <row r="17" spans="1:7" ht="12.75">
      <c r="A17" s="22">
        <f t="shared" si="1"/>
        <v>40663</v>
      </c>
      <c r="B17" s="15">
        <v>17795042.37</v>
      </c>
      <c r="C17" s="15">
        <v>55524.37</v>
      </c>
      <c r="D17" s="15">
        <f t="shared" si="0"/>
        <v>16195371</v>
      </c>
      <c r="E17" s="15">
        <v>1544147</v>
      </c>
      <c r="F17" s="16">
        <v>939</v>
      </c>
      <c r="G17" s="15">
        <v>235</v>
      </c>
    </row>
    <row r="18" spans="1:7" ht="12.75">
      <c r="A18" s="22">
        <f t="shared" si="1"/>
        <v>40670</v>
      </c>
      <c r="B18" s="15">
        <v>17486569.09</v>
      </c>
      <c r="C18" s="15">
        <v>32586.09</v>
      </c>
      <c r="D18" s="15">
        <f t="shared" si="0"/>
        <v>15999450</v>
      </c>
      <c r="E18" s="15">
        <v>1454533</v>
      </c>
      <c r="F18" s="16">
        <v>939</v>
      </c>
      <c r="G18" s="15">
        <v>221</v>
      </c>
    </row>
    <row r="19" spans="1:7" ht="12.75">
      <c r="A19" s="22">
        <f t="shared" si="1"/>
        <v>40677</v>
      </c>
      <c r="B19" s="15">
        <v>18820273.2</v>
      </c>
      <c r="C19" s="15">
        <v>91764.2</v>
      </c>
      <c r="D19" s="15">
        <f t="shared" si="0"/>
        <v>17210566</v>
      </c>
      <c r="E19" s="15">
        <v>1517943</v>
      </c>
      <c r="F19" s="16">
        <v>939</v>
      </c>
      <c r="G19" s="15">
        <v>231</v>
      </c>
    </row>
    <row r="20" spans="1:7" ht="12.75">
      <c r="A20" s="22">
        <f t="shared" si="1"/>
        <v>40684</v>
      </c>
      <c r="B20" s="15">
        <v>19876730.35</v>
      </c>
      <c r="C20" s="15">
        <v>80774.35</v>
      </c>
      <c r="D20" s="15">
        <f t="shared" si="0"/>
        <v>18123381</v>
      </c>
      <c r="E20" s="15">
        <v>1672575</v>
      </c>
      <c r="F20" s="16">
        <v>939</v>
      </c>
      <c r="G20" s="15">
        <v>254</v>
      </c>
    </row>
    <row r="21" spans="1:7" ht="12.75">
      <c r="A21" s="22">
        <f t="shared" si="1"/>
        <v>40691</v>
      </c>
      <c r="B21" s="15">
        <v>15907710.51</v>
      </c>
      <c r="C21" s="15">
        <v>32112.51</v>
      </c>
      <c r="D21" s="15">
        <f t="shared" si="0"/>
        <v>14482334</v>
      </c>
      <c r="E21" s="15">
        <v>1393264</v>
      </c>
      <c r="F21" s="16">
        <v>939</v>
      </c>
      <c r="G21" s="15">
        <v>212</v>
      </c>
    </row>
    <row r="22" spans="1:7" ht="12.75">
      <c r="A22" s="22">
        <f t="shared" si="1"/>
        <v>40698</v>
      </c>
      <c r="B22" s="15">
        <v>17472852.5</v>
      </c>
      <c r="C22" s="15">
        <v>79817.5</v>
      </c>
      <c r="D22" s="15">
        <f t="shared" si="0"/>
        <v>15960809</v>
      </c>
      <c r="E22" s="15">
        <v>1432226</v>
      </c>
      <c r="F22" s="16">
        <v>939</v>
      </c>
      <c r="G22" s="15">
        <v>218</v>
      </c>
    </row>
    <row r="23" spans="1:7" ht="12.75">
      <c r="A23" s="22">
        <f t="shared" si="1"/>
        <v>40705</v>
      </c>
      <c r="B23" s="15">
        <v>16823048.43</v>
      </c>
      <c r="C23" s="15">
        <v>84251.43</v>
      </c>
      <c r="D23" s="15">
        <f t="shared" si="0"/>
        <v>15300513</v>
      </c>
      <c r="E23" s="15">
        <v>1438284</v>
      </c>
      <c r="F23" s="16">
        <v>939</v>
      </c>
      <c r="G23" s="15">
        <v>219</v>
      </c>
    </row>
    <row r="24" spans="1:7" ht="12.75">
      <c r="A24" s="22">
        <f t="shared" si="1"/>
        <v>40712</v>
      </c>
      <c r="B24" s="15">
        <v>16739997.86</v>
      </c>
      <c r="C24" s="15">
        <v>69105.86</v>
      </c>
      <c r="D24" s="15">
        <f t="shared" si="0"/>
        <v>15287273</v>
      </c>
      <c r="E24" s="15">
        <v>1383619</v>
      </c>
      <c r="F24" s="16">
        <v>939</v>
      </c>
      <c r="G24" s="15">
        <v>211</v>
      </c>
    </row>
    <row r="25" spans="1:7" ht="12.75">
      <c r="A25" s="22">
        <f t="shared" si="1"/>
        <v>40719</v>
      </c>
      <c r="B25" s="15">
        <v>19126658.59</v>
      </c>
      <c r="C25" s="15">
        <v>77965.59</v>
      </c>
      <c r="D25" s="15">
        <f t="shared" si="0"/>
        <v>17499173</v>
      </c>
      <c r="E25" s="15">
        <v>1549520</v>
      </c>
      <c r="F25" s="16">
        <v>939</v>
      </c>
      <c r="G25" s="15">
        <v>236</v>
      </c>
    </row>
    <row r="26" spans="1:7" ht="12.75">
      <c r="A26" s="22">
        <f t="shared" si="1"/>
        <v>40726</v>
      </c>
      <c r="B26" s="15">
        <v>18627150.74</v>
      </c>
      <c r="C26" s="15">
        <v>74401.74</v>
      </c>
      <c r="D26" s="15">
        <f t="shared" si="0"/>
        <v>17011720</v>
      </c>
      <c r="E26" s="15">
        <v>1541029</v>
      </c>
      <c r="F26" s="16">
        <v>939</v>
      </c>
      <c r="G26" s="15">
        <v>234</v>
      </c>
    </row>
    <row r="27" spans="1:7" ht="12.75">
      <c r="A27" s="22">
        <f t="shared" si="1"/>
        <v>40733</v>
      </c>
      <c r="B27" s="15">
        <v>17845693.99</v>
      </c>
      <c r="C27" s="15">
        <v>70354.99</v>
      </c>
      <c r="D27" s="15">
        <f t="shared" si="0"/>
        <v>16308185</v>
      </c>
      <c r="E27" s="15">
        <v>1467154</v>
      </c>
      <c r="F27" s="16">
        <v>939</v>
      </c>
      <c r="G27" s="15">
        <v>223</v>
      </c>
    </row>
    <row r="28" spans="1:7" ht="12.75">
      <c r="A28" s="22">
        <f t="shared" si="1"/>
        <v>40740</v>
      </c>
      <c r="B28" s="15">
        <v>17256800.16</v>
      </c>
      <c r="C28" s="15">
        <v>160650.16</v>
      </c>
      <c r="D28" s="15">
        <f t="shared" si="0"/>
        <v>15769161</v>
      </c>
      <c r="E28" s="15">
        <v>1326989</v>
      </c>
      <c r="F28" s="16">
        <v>939</v>
      </c>
      <c r="G28" s="15">
        <v>202</v>
      </c>
    </row>
    <row r="29" spans="1:7" ht="12.75">
      <c r="A29" s="22">
        <f t="shared" si="1"/>
        <v>40747</v>
      </c>
      <c r="B29" s="15">
        <v>16884693.72</v>
      </c>
      <c r="C29" s="15">
        <v>73971.72</v>
      </c>
      <c r="D29" s="15">
        <f t="shared" si="0"/>
        <v>15375426</v>
      </c>
      <c r="E29" s="15">
        <v>1435296</v>
      </c>
      <c r="F29" s="16">
        <v>939</v>
      </c>
      <c r="G29" s="15">
        <v>218</v>
      </c>
    </row>
    <row r="30" spans="1:7" ht="12.75">
      <c r="A30" s="22">
        <f t="shared" si="1"/>
        <v>40754</v>
      </c>
      <c r="B30" s="15">
        <v>15861834.4</v>
      </c>
      <c r="C30" s="15">
        <v>21511.4</v>
      </c>
      <c r="D30" s="15">
        <f t="shared" si="0"/>
        <v>14456412</v>
      </c>
      <c r="E30" s="15">
        <v>1383911</v>
      </c>
      <c r="F30" s="16">
        <v>939</v>
      </c>
      <c r="G30" s="15">
        <v>211</v>
      </c>
    </row>
    <row r="31" spans="1:7" ht="12.75">
      <c r="A31" s="22">
        <f t="shared" si="1"/>
        <v>40761</v>
      </c>
      <c r="B31" s="15">
        <v>17413369.3</v>
      </c>
      <c r="C31" s="15">
        <v>53934.3</v>
      </c>
      <c r="D31" s="15">
        <f t="shared" si="0"/>
        <v>15919871</v>
      </c>
      <c r="E31" s="15">
        <v>1439564</v>
      </c>
      <c r="F31" s="16">
        <v>939</v>
      </c>
      <c r="G31" s="15">
        <v>219</v>
      </c>
    </row>
    <row r="32" spans="1:7" ht="12.75">
      <c r="A32" s="22">
        <f t="shared" si="1"/>
        <v>40768</v>
      </c>
      <c r="B32" s="15">
        <v>13008875.84</v>
      </c>
      <c r="C32" s="15">
        <v>27157.84</v>
      </c>
      <c r="D32" s="15">
        <f t="shared" si="0"/>
        <v>11838469</v>
      </c>
      <c r="E32" s="15">
        <v>1143249</v>
      </c>
      <c r="F32" s="16">
        <v>939</v>
      </c>
      <c r="G32" s="15">
        <v>174</v>
      </c>
    </row>
    <row r="33" spans="1:7" ht="12.75">
      <c r="A33" s="22">
        <f t="shared" si="1"/>
        <v>40775</v>
      </c>
      <c r="B33" s="15">
        <v>12757115.6</v>
      </c>
      <c r="C33" s="15">
        <v>80917.6</v>
      </c>
      <c r="D33" s="15">
        <f t="shared" si="0"/>
        <v>11600880</v>
      </c>
      <c r="E33" s="15">
        <v>1075318</v>
      </c>
      <c r="F33" s="16">
        <v>939</v>
      </c>
      <c r="G33" s="15">
        <v>164</v>
      </c>
    </row>
    <row r="34" spans="1:7" ht="12.75">
      <c r="A34" s="22">
        <f t="shared" si="1"/>
        <v>40782</v>
      </c>
      <c r="B34" s="15">
        <v>20237471.03</v>
      </c>
      <c r="C34" s="15">
        <v>136788.03</v>
      </c>
      <c r="D34" s="15">
        <f t="shared" si="0"/>
        <v>18479800</v>
      </c>
      <c r="E34" s="15">
        <v>1620883</v>
      </c>
      <c r="F34" s="16">
        <v>939</v>
      </c>
      <c r="G34" s="15">
        <v>247</v>
      </c>
    </row>
    <row r="35" spans="1:7" ht="12.75">
      <c r="A35" s="22">
        <f t="shared" si="1"/>
        <v>40789</v>
      </c>
      <c r="B35" s="15">
        <v>17945264.26</v>
      </c>
      <c r="C35" s="15">
        <v>36717.26</v>
      </c>
      <c r="D35" s="15">
        <f t="shared" si="0"/>
        <v>16380950</v>
      </c>
      <c r="E35" s="15">
        <v>1527597</v>
      </c>
      <c r="F35" s="16">
        <v>939</v>
      </c>
      <c r="G35" s="15">
        <v>232</v>
      </c>
    </row>
    <row r="36" spans="1:7" ht="12.75">
      <c r="A36" s="22">
        <f t="shared" si="1"/>
        <v>40796</v>
      </c>
      <c r="B36" s="15">
        <v>18501377.48</v>
      </c>
      <c r="C36" s="15">
        <v>80737.48</v>
      </c>
      <c r="D36" s="15">
        <f t="shared" si="0"/>
        <v>16900651</v>
      </c>
      <c r="E36" s="15">
        <v>1519989</v>
      </c>
      <c r="F36" s="16">
        <v>939</v>
      </c>
      <c r="G36" s="15">
        <v>231</v>
      </c>
    </row>
    <row r="37" spans="1:7" ht="12.75">
      <c r="A37" s="22">
        <f t="shared" si="1"/>
        <v>40803</v>
      </c>
      <c r="B37" s="15">
        <v>17111161.4</v>
      </c>
      <c r="C37" s="15">
        <v>-72441.6</v>
      </c>
      <c r="D37" s="15">
        <f t="shared" si="0"/>
        <v>15631388</v>
      </c>
      <c r="E37" s="15">
        <v>1552215</v>
      </c>
      <c r="F37" s="16">
        <v>939</v>
      </c>
      <c r="G37" s="15">
        <v>236</v>
      </c>
    </row>
    <row r="38" spans="1:7" ht="12.75">
      <c r="A38" s="22">
        <f t="shared" si="1"/>
        <v>40810</v>
      </c>
      <c r="B38" s="15">
        <v>15550344.84</v>
      </c>
      <c r="C38" s="15">
        <v>67077.84</v>
      </c>
      <c r="D38" s="15">
        <f t="shared" si="0"/>
        <v>14173996</v>
      </c>
      <c r="E38" s="15">
        <v>1309271</v>
      </c>
      <c r="F38" s="16">
        <v>939</v>
      </c>
      <c r="G38" s="15">
        <v>199</v>
      </c>
    </row>
    <row r="39" spans="1:7" ht="12.75">
      <c r="A39" s="22">
        <f t="shared" si="1"/>
        <v>40817</v>
      </c>
      <c r="B39" s="15">
        <v>16483147.23</v>
      </c>
      <c r="C39" s="15">
        <v>91872.23</v>
      </c>
      <c r="D39" s="15">
        <f t="shared" si="0"/>
        <v>15070824</v>
      </c>
      <c r="E39" s="15">
        <v>1320451</v>
      </c>
      <c r="F39" s="16">
        <v>939</v>
      </c>
      <c r="G39" s="15">
        <v>201</v>
      </c>
    </row>
    <row r="40" spans="1:7" ht="12.75">
      <c r="A40" s="22">
        <f t="shared" si="1"/>
        <v>40824</v>
      </c>
      <c r="B40" s="15">
        <v>15270773.07</v>
      </c>
      <c r="C40" s="15">
        <v>58511.07</v>
      </c>
      <c r="D40" s="15">
        <f t="shared" si="0"/>
        <v>13928243</v>
      </c>
      <c r="E40" s="15">
        <v>1284019</v>
      </c>
      <c r="F40" s="16">
        <v>939</v>
      </c>
      <c r="G40" s="15">
        <v>195</v>
      </c>
    </row>
    <row r="41" spans="1:7" ht="12.75">
      <c r="A41" s="22">
        <f t="shared" si="1"/>
        <v>40831</v>
      </c>
      <c r="B41" s="15">
        <v>15349646.42</v>
      </c>
      <c r="C41" s="15">
        <v>62005.42</v>
      </c>
      <c r="D41" s="15">
        <f t="shared" si="0"/>
        <v>13945115</v>
      </c>
      <c r="E41" s="15">
        <v>1342526</v>
      </c>
      <c r="F41" s="16">
        <v>939</v>
      </c>
      <c r="G41" s="15">
        <v>204</v>
      </c>
    </row>
    <row r="42" spans="1:7" ht="12.75">
      <c r="A42" s="22">
        <f t="shared" si="1"/>
        <v>40838</v>
      </c>
      <c r="B42" s="15">
        <v>17901654.33</v>
      </c>
      <c r="C42" s="15">
        <v>104650.33</v>
      </c>
      <c r="D42" s="15">
        <f t="shared" si="0"/>
        <v>16260885</v>
      </c>
      <c r="E42" s="15">
        <v>1536119</v>
      </c>
      <c r="F42" s="16">
        <v>939</v>
      </c>
      <c r="G42" s="15">
        <v>234</v>
      </c>
    </row>
    <row r="43" spans="1:7" ht="12.75">
      <c r="A43" s="22">
        <f t="shared" si="1"/>
        <v>40845</v>
      </c>
      <c r="B43" s="15">
        <v>16042801.77</v>
      </c>
      <c r="C43" s="15">
        <f>97499.77-76910</f>
        <v>20589.770000000004</v>
      </c>
      <c r="D43" s="15">
        <f t="shared" si="0"/>
        <v>14622836</v>
      </c>
      <c r="E43" s="15">
        <v>1399376</v>
      </c>
      <c r="F43" s="16">
        <v>939</v>
      </c>
      <c r="G43" s="15">
        <v>245</v>
      </c>
    </row>
    <row r="44" spans="1:7" ht="12.75">
      <c r="A44" s="22">
        <f t="shared" si="1"/>
        <v>40852</v>
      </c>
      <c r="B44" s="15">
        <v>19960982.81</v>
      </c>
      <c r="C44" s="15">
        <v>261681.81</v>
      </c>
      <c r="D44" s="15">
        <f t="shared" si="0"/>
        <v>18257769</v>
      </c>
      <c r="E44" s="15">
        <v>1441532</v>
      </c>
      <c r="F44" s="16">
        <v>939</v>
      </c>
      <c r="G44" s="15">
        <v>219</v>
      </c>
    </row>
    <row r="45" spans="1:7" ht="12.75">
      <c r="A45" s="22">
        <f t="shared" si="1"/>
        <v>40859</v>
      </c>
      <c r="B45" s="15">
        <v>15349397.74</v>
      </c>
      <c r="C45" s="15">
        <v>46863.74</v>
      </c>
      <c r="D45" s="15">
        <f t="shared" si="0"/>
        <v>14007631</v>
      </c>
      <c r="E45" s="15">
        <v>1294903</v>
      </c>
      <c r="F45" s="16">
        <v>939</v>
      </c>
      <c r="G45" s="15">
        <v>197</v>
      </c>
    </row>
    <row r="46" spans="1:7" ht="12.75">
      <c r="A46" s="22">
        <f aca="true" t="shared" si="2" ref="A46:A64">+A45+7</f>
        <v>40866</v>
      </c>
      <c r="B46" s="15">
        <v>16130971</v>
      </c>
      <c r="C46" s="15">
        <v>70765</v>
      </c>
      <c r="D46" s="15">
        <f t="shared" si="0"/>
        <v>14813249</v>
      </c>
      <c r="E46" s="15">
        <v>1246957</v>
      </c>
      <c r="F46" s="16">
        <v>939</v>
      </c>
      <c r="G46" s="15">
        <v>190</v>
      </c>
    </row>
    <row r="47" spans="1:7" ht="12.75">
      <c r="A47" s="22">
        <f t="shared" si="2"/>
        <v>40873</v>
      </c>
      <c r="B47" s="15">
        <v>16330607.11</v>
      </c>
      <c r="C47" s="15">
        <v>110350.11</v>
      </c>
      <c r="D47" s="15">
        <f t="shared" si="0"/>
        <v>14941773</v>
      </c>
      <c r="E47" s="15">
        <v>1278484</v>
      </c>
      <c r="F47" s="16">
        <v>939</v>
      </c>
      <c r="G47" s="15">
        <v>195</v>
      </c>
    </row>
    <row r="48" spans="1:7" ht="12.75">
      <c r="A48" s="22">
        <f t="shared" si="2"/>
        <v>40880</v>
      </c>
      <c r="B48" s="15">
        <v>17514375.4</v>
      </c>
      <c r="C48" s="15">
        <v>97612.4</v>
      </c>
      <c r="D48" s="15">
        <f t="shared" si="0"/>
        <v>16041157</v>
      </c>
      <c r="E48" s="15">
        <v>1375606</v>
      </c>
      <c r="F48" s="16">
        <v>939</v>
      </c>
      <c r="G48" s="15">
        <v>209</v>
      </c>
    </row>
    <row r="49" spans="1:7" ht="12.75">
      <c r="A49" s="22">
        <f t="shared" si="2"/>
        <v>40887</v>
      </c>
      <c r="B49" s="15">
        <v>15243209.3</v>
      </c>
      <c r="C49" s="15">
        <v>57056.3</v>
      </c>
      <c r="D49" s="15">
        <f t="shared" si="0"/>
        <v>13951088</v>
      </c>
      <c r="E49" s="15">
        <v>1235065</v>
      </c>
      <c r="F49" s="16">
        <v>939</v>
      </c>
      <c r="G49" s="15">
        <v>188</v>
      </c>
    </row>
    <row r="50" spans="1:7" ht="12.75">
      <c r="A50" s="22">
        <f t="shared" si="2"/>
        <v>40894</v>
      </c>
      <c r="B50" s="15">
        <v>14867568.68</v>
      </c>
      <c r="C50" s="15">
        <v>43791.68</v>
      </c>
      <c r="D50" s="15">
        <f t="shared" si="0"/>
        <v>13541050</v>
      </c>
      <c r="E50" s="15">
        <v>1282727</v>
      </c>
      <c r="F50" s="16">
        <v>939</v>
      </c>
      <c r="G50" s="15">
        <v>195</v>
      </c>
    </row>
    <row r="51" spans="1:7" ht="12.75">
      <c r="A51" s="22">
        <f t="shared" si="2"/>
        <v>40901</v>
      </c>
      <c r="B51" s="15">
        <v>16601063.09</v>
      </c>
      <c r="C51" s="15">
        <v>144992.09</v>
      </c>
      <c r="D51" s="15">
        <f t="shared" si="0"/>
        <v>15135289</v>
      </c>
      <c r="E51" s="15">
        <v>1320782</v>
      </c>
      <c r="F51" s="16">
        <v>939</v>
      </c>
      <c r="G51" s="15">
        <v>201</v>
      </c>
    </row>
    <row r="52" spans="1:7" ht="12.75">
      <c r="A52" s="22">
        <f t="shared" si="2"/>
        <v>40908</v>
      </c>
      <c r="B52" s="15">
        <v>17655034.15</v>
      </c>
      <c r="C52" s="15">
        <v>23652.15</v>
      </c>
      <c r="D52" s="15">
        <f t="shared" si="0"/>
        <v>16184321</v>
      </c>
      <c r="E52" s="15">
        <v>1447061</v>
      </c>
      <c r="F52" s="16">
        <v>939</v>
      </c>
      <c r="G52" s="15">
        <v>220</v>
      </c>
    </row>
    <row r="53" spans="1:7" ht="12.75">
      <c r="A53" s="22">
        <f t="shared" si="2"/>
        <v>40915</v>
      </c>
      <c r="B53" s="15">
        <v>17050087.69</v>
      </c>
      <c r="C53" s="15">
        <v>-38231.31</v>
      </c>
      <c r="D53" s="15">
        <f t="shared" si="0"/>
        <v>15569465</v>
      </c>
      <c r="E53" s="15">
        <v>1518854</v>
      </c>
      <c r="F53" s="16">
        <v>939</v>
      </c>
      <c r="G53" s="15">
        <v>231</v>
      </c>
    </row>
    <row r="54" spans="1:7" ht="12.75">
      <c r="A54" s="22">
        <f t="shared" si="2"/>
        <v>40922</v>
      </c>
      <c r="B54" s="15">
        <v>16135762.86</v>
      </c>
      <c r="C54" s="15">
        <v>106747.86</v>
      </c>
      <c r="D54" s="15">
        <f t="shared" si="0"/>
        <v>14725670</v>
      </c>
      <c r="E54" s="15">
        <v>1303345</v>
      </c>
      <c r="F54" s="16">
        <v>939</v>
      </c>
      <c r="G54" s="15">
        <v>198</v>
      </c>
    </row>
    <row r="55" spans="1:7" ht="12.75">
      <c r="A55" s="22">
        <f t="shared" si="2"/>
        <v>40929</v>
      </c>
      <c r="B55" s="15">
        <v>15916621.97</v>
      </c>
      <c r="C55" s="15">
        <v>65540.97</v>
      </c>
      <c r="D55" s="15">
        <f t="shared" si="0"/>
        <v>14503521</v>
      </c>
      <c r="E55" s="15">
        <v>1347560</v>
      </c>
      <c r="F55" s="16">
        <v>939</v>
      </c>
      <c r="G55" s="15">
        <v>205</v>
      </c>
    </row>
    <row r="56" spans="1:7" ht="12.75">
      <c r="A56" s="22">
        <f t="shared" si="2"/>
        <v>40936</v>
      </c>
      <c r="B56" s="15">
        <v>17646352</v>
      </c>
      <c r="C56" s="15">
        <v>93363</v>
      </c>
      <c r="D56" s="15">
        <f t="shared" si="0"/>
        <v>16136150</v>
      </c>
      <c r="E56" s="15">
        <v>1416839</v>
      </c>
      <c r="F56" s="16">
        <v>939</v>
      </c>
      <c r="G56" s="15">
        <v>216</v>
      </c>
    </row>
    <row r="57" spans="1:7" ht="12.75">
      <c r="A57" s="22">
        <f t="shared" si="2"/>
        <v>40943</v>
      </c>
      <c r="B57" s="15">
        <v>18861102.66</v>
      </c>
      <c r="C57" s="15">
        <v>122888.66</v>
      </c>
      <c r="D57" s="15">
        <f t="shared" si="0"/>
        <v>17169432</v>
      </c>
      <c r="E57" s="15">
        <v>1568782</v>
      </c>
      <c r="F57" s="16">
        <v>939</v>
      </c>
      <c r="G57" s="15">
        <v>239</v>
      </c>
    </row>
    <row r="58" spans="1:7" ht="12.75">
      <c r="A58" s="22">
        <f t="shared" si="2"/>
        <v>40950</v>
      </c>
      <c r="B58" s="15">
        <v>16782792.54</v>
      </c>
      <c r="C58" s="15">
        <v>72781.54</v>
      </c>
      <c r="D58" s="15">
        <f t="shared" si="0"/>
        <v>15307444</v>
      </c>
      <c r="E58" s="15">
        <v>1402567</v>
      </c>
      <c r="F58" s="16">
        <v>939</v>
      </c>
      <c r="G58" s="15">
        <v>213</v>
      </c>
    </row>
    <row r="59" spans="1:7" ht="12.75">
      <c r="A59" s="22">
        <f t="shared" si="2"/>
        <v>40957</v>
      </c>
      <c r="B59" s="15">
        <v>19295575.04</v>
      </c>
      <c r="C59" s="15">
        <v>220220.04</v>
      </c>
      <c r="D59" s="15">
        <f t="shared" si="0"/>
        <v>17620804</v>
      </c>
      <c r="E59" s="15">
        <v>1454551</v>
      </c>
      <c r="F59" s="16">
        <v>939</v>
      </c>
      <c r="G59" s="15">
        <v>221</v>
      </c>
    </row>
    <row r="60" spans="1:7" ht="12.75">
      <c r="A60" s="22">
        <f t="shared" si="2"/>
        <v>40964</v>
      </c>
      <c r="B60" s="15">
        <v>20409553.26</v>
      </c>
      <c r="C60" s="15">
        <v>112592.26</v>
      </c>
      <c r="D60" s="15">
        <f t="shared" si="0"/>
        <v>18691183</v>
      </c>
      <c r="E60" s="15">
        <v>1605778</v>
      </c>
      <c r="F60" s="16">
        <v>939.2857142857143</v>
      </c>
      <c r="G60" s="15">
        <v>244</v>
      </c>
    </row>
    <row r="61" spans="1:7" ht="12.75">
      <c r="A61" s="22">
        <f t="shared" si="2"/>
        <v>40971</v>
      </c>
      <c r="B61" s="15">
        <v>20055639.69</v>
      </c>
      <c r="C61" s="15">
        <v>99047.69</v>
      </c>
      <c r="D61" s="15">
        <f t="shared" si="0"/>
        <v>18294263</v>
      </c>
      <c r="E61" s="15">
        <v>1662329</v>
      </c>
      <c r="F61" s="16">
        <v>940</v>
      </c>
      <c r="G61" s="15">
        <v>253</v>
      </c>
    </row>
    <row r="62" spans="1:7" ht="12.75">
      <c r="A62" s="22">
        <f t="shared" si="2"/>
        <v>40978</v>
      </c>
      <c r="B62" s="15">
        <v>20906973.38</v>
      </c>
      <c r="C62" s="15">
        <v>104297.38</v>
      </c>
      <c r="D62" s="15">
        <f t="shared" si="0"/>
        <v>19079381</v>
      </c>
      <c r="E62" s="15">
        <v>1723295</v>
      </c>
      <c r="F62" s="16">
        <v>940</v>
      </c>
      <c r="G62" s="15">
        <v>262</v>
      </c>
    </row>
    <row r="63" spans="1:7" ht="12.75">
      <c r="A63" s="22">
        <f t="shared" si="2"/>
        <v>40985</v>
      </c>
      <c r="B63" s="15">
        <v>20560192.92</v>
      </c>
      <c r="C63" s="15">
        <v>118846.92</v>
      </c>
      <c r="D63" s="15">
        <f t="shared" si="0"/>
        <v>18660924</v>
      </c>
      <c r="E63" s="15">
        <v>1780422</v>
      </c>
      <c r="F63" s="16">
        <v>940</v>
      </c>
      <c r="G63" s="15">
        <v>271</v>
      </c>
    </row>
    <row r="64" spans="1:7" ht="12.75">
      <c r="A64" s="22">
        <f t="shared" si="2"/>
        <v>40992</v>
      </c>
      <c r="B64" s="15">
        <v>18883970.91</v>
      </c>
      <c r="C64" s="15">
        <v>124359.91</v>
      </c>
      <c r="D64" s="15">
        <f t="shared" si="0"/>
        <v>17169127</v>
      </c>
      <c r="E64" s="15">
        <v>1590484</v>
      </c>
      <c r="F64" s="16">
        <v>940</v>
      </c>
      <c r="G64" s="15">
        <v>242</v>
      </c>
    </row>
    <row r="66" spans="1:7" ht="13.5" thickBot="1">
      <c r="A66" s="22" t="s">
        <v>8</v>
      </c>
      <c r="B66" s="17">
        <f>SUM(B13:B64)</f>
        <v>903094296.4599998</v>
      </c>
      <c r="C66" s="17">
        <f>SUM(C13:C64)</f>
        <v>3943722.46</v>
      </c>
      <c r="D66" s="17">
        <f>SUM(D13:D64)</f>
        <v>824215220</v>
      </c>
      <c r="E66" s="17">
        <f>SUM(E13:E64)</f>
        <v>74935354</v>
      </c>
      <c r="F66" s="24">
        <f>SUM(F13:F65)/COUNT(F13:F65)</f>
        <v>939.0824175824176</v>
      </c>
      <c r="G66" s="17">
        <f>+E66/SUM(F13:F65)/7</f>
        <v>219.2207555891009</v>
      </c>
    </row>
    <row r="67" spans="1:5" s="21" customFormat="1" ht="13.5" thickTop="1">
      <c r="A67" s="22"/>
      <c r="B67" s="20"/>
      <c r="C67" s="20"/>
      <c r="D67" s="20"/>
      <c r="E67" s="20"/>
    </row>
  </sheetData>
  <sheetProtection/>
  <mergeCells count="6">
    <mergeCell ref="A5:G5"/>
    <mergeCell ref="A8:G8"/>
    <mergeCell ref="A1:G1"/>
    <mergeCell ref="A2:G2"/>
    <mergeCell ref="A3:G3"/>
    <mergeCell ref="A4:G4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70" sqref="C70"/>
    </sheetView>
  </sheetViews>
  <sheetFormatPr defaultColWidth="9.140625" defaultRowHeight="12.75"/>
  <cols>
    <col min="1" max="1" width="15.7109375" style="22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9" s="26" customFormat="1" ht="18">
      <c r="A1" s="42" t="s">
        <v>24</v>
      </c>
      <c r="B1" s="42"/>
      <c r="C1" s="42"/>
      <c r="D1" s="42"/>
      <c r="E1" s="42"/>
      <c r="F1" s="42"/>
      <c r="G1" s="28"/>
      <c r="H1" s="28"/>
      <c r="I1" s="28"/>
    </row>
    <row r="2" spans="1:9" s="26" customFormat="1" ht="15">
      <c r="A2" s="43" t="s">
        <v>19</v>
      </c>
      <c r="B2" s="43"/>
      <c r="C2" s="43"/>
      <c r="D2" s="43"/>
      <c r="E2" s="43"/>
      <c r="F2" s="43"/>
      <c r="G2" s="29"/>
      <c r="H2" s="29"/>
      <c r="I2" s="29"/>
    </row>
    <row r="3" spans="1:9" s="27" customFormat="1" ht="15">
      <c r="A3" s="43" t="s">
        <v>20</v>
      </c>
      <c r="B3" s="43"/>
      <c r="C3" s="43"/>
      <c r="D3" s="43"/>
      <c r="E3" s="43"/>
      <c r="F3" s="43"/>
      <c r="G3" s="29"/>
      <c r="H3" s="29"/>
      <c r="I3" s="29"/>
    </row>
    <row r="4" spans="1:9" s="27" customFormat="1" ht="14.25">
      <c r="A4" s="44" t="s">
        <v>21</v>
      </c>
      <c r="B4" s="44"/>
      <c r="C4" s="44"/>
      <c r="D4" s="44"/>
      <c r="E4" s="44"/>
      <c r="F4" s="44"/>
      <c r="G4" s="32"/>
      <c r="H4" s="30"/>
      <c r="I4" s="30"/>
    </row>
    <row r="5" spans="1:9" s="27" customFormat="1" ht="14.25">
      <c r="A5" s="45" t="s">
        <v>22</v>
      </c>
      <c r="B5" s="45"/>
      <c r="C5" s="45"/>
      <c r="D5" s="45"/>
      <c r="E5" s="45"/>
      <c r="F5" s="45"/>
      <c r="G5" s="31"/>
      <c r="H5" s="31"/>
      <c r="I5" s="31"/>
    </row>
    <row r="6" spans="1:6" s="1" customFormat="1" ht="14.25">
      <c r="A6" s="33"/>
      <c r="B6" s="2"/>
      <c r="C6" s="2"/>
      <c r="D6" s="2"/>
      <c r="E6" s="2"/>
      <c r="F6" s="2"/>
    </row>
    <row r="7" spans="1:6" s="1" customFormat="1" ht="12.75">
      <c r="A7" s="22"/>
      <c r="B7" s="4"/>
      <c r="C7" s="4"/>
      <c r="D7" s="5"/>
      <c r="E7" s="6"/>
      <c r="F7" s="5"/>
    </row>
    <row r="8" spans="1:6" s="7" customFormat="1" ht="14.25" customHeight="1">
      <c r="A8" s="46" t="s">
        <v>23</v>
      </c>
      <c r="B8" s="47"/>
      <c r="C8" s="47"/>
      <c r="D8" s="47"/>
      <c r="E8" s="47"/>
      <c r="F8" s="48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2">
      <c r="A10" s="34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35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40271</v>
      </c>
      <c r="B13" s="15">
        <v>12418379</v>
      </c>
      <c r="C13" s="15">
        <f aca="true" t="shared" si="0" ref="C13:C64">+B13-D13</f>
        <v>11352408</v>
      </c>
      <c r="D13" s="15">
        <v>1065971</v>
      </c>
      <c r="E13" s="16">
        <v>959</v>
      </c>
      <c r="F13" s="15">
        <v>159</v>
      </c>
    </row>
    <row r="14" spans="1:6" ht="12.75">
      <c r="A14" s="22">
        <f>+A13+7</f>
        <v>40278</v>
      </c>
      <c r="B14" s="15">
        <v>13665485</v>
      </c>
      <c r="C14" s="15">
        <f t="shared" si="0"/>
        <v>12401296</v>
      </c>
      <c r="D14" s="15">
        <v>1264189</v>
      </c>
      <c r="E14" s="16">
        <v>959</v>
      </c>
      <c r="F14" s="15">
        <v>188</v>
      </c>
    </row>
    <row r="15" spans="1:6" ht="12.75">
      <c r="A15" s="22">
        <f aca="true" t="shared" si="1" ref="A15:A64">+A14+7</f>
        <v>40285</v>
      </c>
      <c r="B15" s="15">
        <v>13347483</v>
      </c>
      <c r="C15" s="15">
        <f t="shared" si="0"/>
        <v>12235427</v>
      </c>
      <c r="D15" s="15">
        <v>1112056</v>
      </c>
      <c r="E15" s="16">
        <v>959</v>
      </c>
      <c r="F15" s="15">
        <v>166</v>
      </c>
    </row>
    <row r="16" spans="1:6" ht="12.75">
      <c r="A16" s="22">
        <f t="shared" si="1"/>
        <v>40292</v>
      </c>
      <c r="B16" s="15">
        <v>13563246</v>
      </c>
      <c r="C16" s="15">
        <f t="shared" si="0"/>
        <v>12322618</v>
      </c>
      <c r="D16" s="15">
        <v>1240628</v>
      </c>
      <c r="E16" s="16">
        <v>959</v>
      </c>
      <c r="F16" s="15">
        <v>185</v>
      </c>
    </row>
    <row r="17" spans="1:6" ht="12.75">
      <c r="A17" s="22">
        <f t="shared" si="1"/>
        <v>40299</v>
      </c>
      <c r="B17" s="15">
        <v>13318264</v>
      </c>
      <c r="C17" s="15">
        <f t="shared" si="0"/>
        <v>12158611</v>
      </c>
      <c r="D17" s="15">
        <v>1159653</v>
      </c>
      <c r="E17" s="16">
        <v>959</v>
      </c>
      <c r="F17" s="15">
        <v>173</v>
      </c>
    </row>
    <row r="18" spans="1:6" ht="12.75">
      <c r="A18" s="22">
        <f t="shared" si="1"/>
        <v>40306</v>
      </c>
      <c r="B18" s="15">
        <v>13027115</v>
      </c>
      <c r="C18" s="15">
        <f t="shared" si="0"/>
        <v>11956854</v>
      </c>
      <c r="D18" s="15">
        <v>1070261</v>
      </c>
      <c r="E18" s="16">
        <v>959</v>
      </c>
      <c r="F18" s="15">
        <v>159</v>
      </c>
    </row>
    <row r="19" spans="1:6" ht="12.75">
      <c r="A19" s="22">
        <f t="shared" si="1"/>
        <v>40313</v>
      </c>
      <c r="B19" s="15">
        <v>13643641</v>
      </c>
      <c r="C19" s="15">
        <f t="shared" si="0"/>
        <v>12461609</v>
      </c>
      <c r="D19" s="15">
        <v>1182032</v>
      </c>
      <c r="E19" s="16">
        <v>959</v>
      </c>
      <c r="F19" s="15">
        <v>176</v>
      </c>
    </row>
    <row r="20" spans="1:6" ht="12.75">
      <c r="A20" s="22">
        <f t="shared" si="1"/>
        <v>40320</v>
      </c>
      <c r="B20" s="15">
        <v>13782615</v>
      </c>
      <c r="C20" s="15">
        <f t="shared" si="0"/>
        <v>12616748</v>
      </c>
      <c r="D20" s="15">
        <v>1165867</v>
      </c>
      <c r="E20" s="16">
        <v>959</v>
      </c>
      <c r="F20" s="15">
        <v>174</v>
      </c>
    </row>
    <row r="21" spans="1:6" ht="12.75">
      <c r="A21" s="22">
        <f t="shared" si="1"/>
        <v>40327</v>
      </c>
      <c r="B21" s="15">
        <v>11818033</v>
      </c>
      <c r="C21" s="15">
        <f t="shared" si="0"/>
        <v>10791160</v>
      </c>
      <c r="D21" s="15">
        <v>1026873</v>
      </c>
      <c r="E21" s="16">
        <v>959</v>
      </c>
      <c r="F21" s="15">
        <v>153</v>
      </c>
    </row>
    <row r="22" spans="1:6" ht="12.75">
      <c r="A22" s="22">
        <f t="shared" si="1"/>
        <v>40334</v>
      </c>
      <c r="B22" s="15">
        <v>13761453</v>
      </c>
      <c r="C22" s="15">
        <f t="shared" si="0"/>
        <v>12571305</v>
      </c>
      <c r="D22" s="15">
        <v>1190148</v>
      </c>
      <c r="E22" s="16">
        <v>959</v>
      </c>
      <c r="F22" s="15">
        <v>177</v>
      </c>
    </row>
    <row r="23" spans="1:6" ht="12.75">
      <c r="A23" s="22">
        <f t="shared" si="1"/>
        <v>40341</v>
      </c>
      <c r="B23" s="15">
        <v>13116146</v>
      </c>
      <c r="C23" s="15">
        <f t="shared" si="0"/>
        <v>11944776</v>
      </c>
      <c r="D23" s="15">
        <v>1171370</v>
      </c>
      <c r="E23" s="16">
        <v>959</v>
      </c>
      <c r="F23" s="15">
        <v>174</v>
      </c>
    </row>
    <row r="24" spans="1:6" ht="12.75">
      <c r="A24" s="22">
        <f t="shared" si="1"/>
        <v>40348</v>
      </c>
      <c r="B24" s="15">
        <v>13441279</v>
      </c>
      <c r="C24" s="15">
        <f t="shared" si="0"/>
        <v>12254720</v>
      </c>
      <c r="D24" s="15">
        <v>1186559</v>
      </c>
      <c r="E24" s="16">
        <v>959</v>
      </c>
      <c r="F24" s="15">
        <v>177</v>
      </c>
    </row>
    <row r="25" spans="1:6" ht="12.75">
      <c r="A25" s="22">
        <f t="shared" si="1"/>
        <v>40355</v>
      </c>
      <c r="B25" s="15">
        <v>14532976</v>
      </c>
      <c r="C25" s="15">
        <f t="shared" si="0"/>
        <v>13308175</v>
      </c>
      <c r="D25" s="15">
        <v>1224801</v>
      </c>
      <c r="E25" s="16">
        <v>959</v>
      </c>
      <c r="F25" s="15">
        <v>182</v>
      </c>
    </row>
    <row r="26" spans="1:6" ht="12.75">
      <c r="A26" s="22">
        <f t="shared" si="1"/>
        <v>40362</v>
      </c>
      <c r="B26" s="15">
        <v>13799576</v>
      </c>
      <c r="C26" s="15">
        <f t="shared" si="0"/>
        <v>12592158</v>
      </c>
      <c r="D26" s="15">
        <v>1207418</v>
      </c>
      <c r="E26" s="16">
        <v>959</v>
      </c>
      <c r="F26" s="15">
        <v>180</v>
      </c>
    </row>
    <row r="27" spans="1:6" ht="12.75">
      <c r="A27" s="22">
        <f t="shared" si="1"/>
        <v>40369</v>
      </c>
      <c r="B27" s="15">
        <v>14362777</v>
      </c>
      <c r="C27" s="15">
        <f t="shared" si="0"/>
        <v>13112915</v>
      </c>
      <c r="D27" s="15">
        <v>1249862</v>
      </c>
      <c r="E27" s="16">
        <v>959</v>
      </c>
      <c r="F27" s="15">
        <v>186</v>
      </c>
    </row>
    <row r="28" spans="1:6" ht="12.75">
      <c r="A28" s="22">
        <f t="shared" si="1"/>
        <v>40376</v>
      </c>
      <c r="B28" s="15">
        <v>13988647</v>
      </c>
      <c r="C28" s="15">
        <f t="shared" si="0"/>
        <v>12754829</v>
      </c>
      <c r="D28" s="15">
        <v>1233818</v>
      </c>
      <c r="E28" s="16">
        <v>959</v>
      </c>
      <c r="F28" s="15">
        <v>184</v>
      </c>
    </row>
    <row r="29" spans="1:6" ht="12.75">
      <c r="A29" s="22">
        <f t="shared" si="1"/>
        <v>40383</v>
      </c>
      <c r="B29" s="15">
        <v>13644478</v>
      </c>
      <c r="C29" s="15">
        <f t="shared" si="0"/>
        <v>12421747</v>
      </c>
      <c r="D29" s="15">
        <v>1222731</v>
      </c>
      <c r="E29" s="16">
        <v>959</v>
      </c>
      <c r="F29" s="15">
        <v>182</v>
      </c>
    </row>
    <row r="30" spans="1:6" ht="12.75">
      <c r="A30" s="22">
        <f t="shared" si="1"/>
        <v>40390</v>
      </c>
      <c r="B30" s="15">
        <v>13113550</v>
      </c>
      <c r="C30" s="15">
        <f t="shared" si="0"/>
        <v>11946808</v>
      </c>
      <c r="D30" s="15">
        <v>1166742</v>
      </c>
      <c r="E30" s="16">
        <v>959</v>
      </c>
      <c r="F30" s="15">
        <v>174</v>
      </c>
    </row>
    <row r="31" spans="1:6" ht="12.75">
      <c r="A31" s="22">
        <f t="shared" si="1"/>
        <v>40397</v>
      </c>
      <c r="B31" s="15">
        <v>13025771</v>
      </c>
      <c r="C31" s="15">
        <f t="shared" si="0"/>
        <v>11861485</v>
      </c>
      <c r="D31" s="15">
        <v>1164286</v>
      </c>
      <c r="E31" s="16">
        <v>959</v>
      </c>
      <c r="F31" s="15">
        <v>173</v>
      </c>
    </row>
    <row r="32" spans="1:6" ht="12.75">
      <c r="A32" s="22">
        <f t="shared" si="1"/>
        <v>40404</v>
      </c>
      <c r="B32" s="15">
        <v>6802265</v>
      </c>
      <c r="C32" s="15">
        <f t="shared" si="0"/>
        <v>6198019</v>
      </c>
      <c r="D32" s="15">
        <v>604246</v>
      </c>
      <c r="E32" s="16">
        <v>944</v>
      </c>
      <c r="F32" s="15">
        <v>213</v>
      </c>
    </row>
    <row r="33" spans="1:6" ht="12.75">
      <c r="A33" s="22">
        <f t="shared" si="1"/>
        <v>40411</v>
      </c>
      <c r="B33" s="15">
        <v>14390242</v>
      </c>
      <c r="C33" s="15">
        <f t="shared" si="0"/>
        <v>13116056</v>
      </c>
      <c r="D33" s="15">
        <v>1274186</v>
      </c>
      <c r="E33" s="16">
        <v>937</v>
      </c>
      <c r="F33" s="15">
        <v>194</v>
      </c>
    </row>
    <row r="34" spans="1:6" ht="12.75">
      <c r="A34" s="22">
        <f t="shared" si="1"/>
        <v>40418</v>
      </c>
      <c r="B34" s="15">
        <v>18384347</v>
      </c>
      <c r="C34" s="15">
        <f t="shared" si="0"/>
        <v>16780354</v>
      </c>
      <c r="D34" s="15">
        <v>1603993</v>
      </c>
      <c r="E34" s="16">
        <v>937</v>
      </c>
      <c r="F34" s="15">
        <v>245</v>
      </c>
    </row>
    <row r="35" spans="1:6" ht="12.75">
      <c r="A35" s="22">
        <f t="shared" si="1"/>
        <v>40425</v>
      </c>
      <c r="B35" s="15">
        <v>18466132</v>
      </c>
      <c r="C35" s="15">
        <f t="shared" si="0"/>
        <v>16871158</v>
      </c>
      <c r="D35" s="15">
        <v>1594974</v>
      </c>
      <c r="E35" s="16">
        <v>937</v>
      </c>
      <c r="F35" s="15">
        <v>243</v>
      </c>
    </row>
    <row r="36" spans="1:6" ht="12.75">
      <c r="A36" s="22">
        <f t="shared" si="1"/>
        <v>40432</v>
      </c>
      <c r="B36" s="15">
        <v>19466171</v>
      </c>
      <c r="C36" s="15">
        <f t="shared" si="0"/>
        <v>17813980</v>
      </c>
      <c r="D36" s="15">
        <v>1652191</v>
      </c>
      <c r="E36" s="16">
        <v>937</v>
      </c>
      <c r="F36" s="15">
        <v>252</v>
      </c>
    </row>
    <row r="37" spans="1:6" ht="12.75">
      <c r="A37" s="22">
        <f t="shared" si="1"/>
        <v>40439</v>
      </c>
      <c r="B37" s="15">
        <v>15895916</v>
      </c>
      <c r="C37" s="15">
        <f t="shared" si="0"/>
        <v>14502496</v>
      </c>
      <c r="D37" s="15">
        <v>1393420</v>
      </c>
      <c r="E37" s="16">
        <v>937</v>
      </c>
      <c r="F37" s="15">
        <v>212</v>
      </c>
    </row>
    <row r="38" spans="1:6" ht="12.75">
      <c r="A38" s="22">
        <f t="shared" si="1"/>
        <v>40446</v>
      </c>
      <c r="B38" s="15">
        <v>14792105</v>
      </c>
      <c r="C38" s="15">
        <f t="shared" si="0"/>
        <v>13445670</v>
      </c>
      <c r="D38" s="15">
        <v>1346435</v>
      </c>
      <c r="E38" s="16">
        <v>937</v>
      </c>
      <c r="F38" s="15">
        <v>205</v>
      </c>
    </row>
    <row r="39" spans="1:6" ht="12.75">
      <c r="A39" s="22">
        <f t="shared" si="1"/>
        <v>40453</v>
      </c>
      <c r="B39" s="15">
        <v>14574778</v>
      </c>
      <c r="C39" s="15">
        <f t="shared" si="0"/>
        <v>13308870</v>
      </c>
      <c r="D39" s="15">
        <v>1265908</v>
      </c>
      <c r="E39" s="16">
        <v>937</v>
      </c>
      <c r="F39" s="15">
        <v>193</v>
      </c>
    </row>
    <row r="40" spans="1:6" ht="12.75">
      <c r="A40" s="22">
        <f t="shared" si="1"/>
        <v>40460</v>
      </c>
      <c r="B40" s="15">
        <v>13618264</v>
      </c>
      <c r="C40" s="15">
        <f t="shared" si="0"/>
        <v>12423225</v>
      </c>
      <c r="D40" s="15">
        <v>1195039</v>
      </c>
      <c r="E40" s="16">
        <v>937</v>
      </c>
      <c r="F40" s="15">
        <v>182</v>
      </c>
    </row>
    <row r="41" spans="1:6" ht="12.75">
      <c r="A41" s="22">
        <f t="shared" si="1"/>
        <v>40467</v>
      </c>
      <c r="B41" s="15">
        <v>14824222</v>
      </c>
      <c r="C41" s="15">
        <f t="shared" si="0"/>
        <v>13536784</v>
      </c>
      <c r="D41" s="15">
        <v>1287438</v>
      </c>
      <c r="E41" s="16">
        <v>938</v>
      </c>
      <c r="F41" s="15">
        <v>196</v>
      </c>
    </row>
    <row r="42" spans="1:6" ht="12.75">
      <c r="A42" s="22">
        <f t="shared" si="1"/>
        <v>40474</v>
      </c>
      <c r="B42" s="15">
        <v>14382656</v>
      </c>
      <c r="C42" s="15">
        <f t="shared" si="0"/>
        <v>13210162</v>
      </c>
      <c r="D42" s="15">
        <v>1172494</v>
      </c>
      <c r="E42" s="16">
        <v>939</v>
      </c>
      <c r="F42" s="15">
        <v>178</v>
      </c>
    </row>
    <row r="43" spans="1:6" ht="12.75">
      <c r="A43" s="22">
        <f t="shared" si="1"/>
        <v>40481</v>
      </c>
      <c r="B43" s="15">
        <v>14664749</v>
      </c>
      <c r="C43" s="15">
        <f t="shared" si="0"/>
        <v>13467396</v>
      </c>
      <c r="D43" s="15">
        <v>1197353</v>
      </c>
      <c r="E43" s="16">
        <v>939</v>
      </c>
      <c r="F43" s="15">
        <v>182</v>
      </c>
    </row>
    <row r="44" spans="1:6" ht="12.75">
      <c r="A44" s="22">
        <f t="shared" si="1"/>
        <v>40488</v>
      </c>
      <c r="B44" s="15">
        <v>15080571</v>
      </c>
      <c r="C44" s="15">
        <f t="shared" si="0"/>
        <v>13756138</v>
      </c>
      <c r="D44" s="15">
        <v>1324433</v>
      </c>
      <c r="E44" s="16">
        <v>939</v>
      </c>
      <c r="F44" s="15">
        <v>201</v>
      </c>
    </row>
    <row r="45" spans="1:6" ht="12.75">
      <c r="A45" s="22">
        <f t="shared" si="1"/>
        <v>40495</v>
      </c>
      <c r="B45" s="15">
        <v>14603426</v>
      </c>
      <c r="C45" s="15">
        <f t="shared" si="0"/>
        <v>13359477</v>
      </c>
      <c r="D45" s="15">
        <v>1243949</v>
      </c>
      <c r="E45" s="16">
        <v>939</v>
      </c>
      <c r="F45" s="15">
        <v>189</v>
      </c>
    </row>
    <row r="46" spans="1:6" ht="12.75">
      <c r="A46" s="22">
        <f t="shared" si="1"/>
        <v>40502</v>
      </c>
      <c r="B46" s="15">
        <v>14070057</v>
      </c>
      <c r="C46" s="15">
        <f t="shared" si="0"/>
        <v>12894475</v>
      </c>
      <c r="D46" s="15">
        <v>1175582</v>
      </c>
      <c r="E46" s="16">
        <v>939</v>
      </c>
      <c r="F46" s="15">
        <v>179</v>
      </c>
    </row>
    <row r="47" spans="1:6" ht="12.75">
      <c r="A47" s="22">
        <f t="shared" si="1"/>
        <v>40509</v>
      </c>
      <c r="B47" s="15">
        <v>11853701</v>
      </c>
      <c r="C47" s="15">
        <f t="shared" si="0"/>
        <v>10775218</v>
      </c>
      <c r="D47" s="15">
        <v>1078483</v>
      </c>
      <c r="E47" s="16">
        <v>939</v>
      </c>
      <c r="F47" s="15">
        <v>164</v>
      </c>
    </row>
    <row r="48" spans="1:6" ht="12.75">
      <c r="A48" s="22">
        <f t="shared" si="1"/>
        <v>40516</v>
      </c>
      <c r="B48" s="15">
        <v>11170014</v>
      </c>
      <c r="C48" s="15">
        <f t="shared" si="0"/>
        <v>10144011</v>
      </c>
      <c r="D48" s="15">
        <v>1026003</v>
      </c>
      <c r="E48" s="16">
        <v>939</v>
      </c>
      <c r="F48" s="15">
        <v>156</v>
      </c>
    </row>
    <row r="49" spans="1:6" ht="12.75">
      <c r="A49" s="22">
        <f t="shared" si="1"/>
        <v>40523</v>
      </c>
      <c r="B49" s="15">
        <v>12061918</v>
      </c>
      <c r="C49" s="15">
        <f t="shared" si="0"/>
        <v>10946039</v>
      </c>
      <c r="D49" s="15">
        <v>1115879</v>
      </c>
      <c r="E49" s="16">
        <v>939</v>
      </c>
      <c r="F49" s="15">
        <v>170</v>
      </c>
    </row>
    <row r="50" spans="1:6" ht="12.75">
      <c r="A50" s="22">
        <f t="shared" si="1"/>
        <v>40530</v>
      </c>
      <c r="B50" s="15">
        <v>11116430</v>
      </c>
      <c r="C50" s="15">
        <f t="shared" si="0"/>
        <v>10138951</v>
      </c>
      <c r="D50" s="15">
        <v>977479</v>
      </c>
      <c r="E50" s="16">
        <v>939</v>
      </c>
      <c r="F50" s="15">
        <v>149</v>
      </c>
    </row>
    <row r="51" spans="1:6" ht="12.75">
      <c r="A51" s="22">
        <f t="shared" si="1"/>
        <v>40537</v>
      </c>
      <c r="B51" s="15">
        <v>10602384</v>
      </c>
      <c r="C51" s="15">
        <f t="shared" si="0"/>
        <v>9715489</v>
      </c>
      <c r="D51" s="15">
        <v>886895</v>
      </c>
      <c r="E51" s="16">
        <v>939</v>
      </c>
      <c r="F51" s="15">
        <v>135</v>
      </c>
    </row>
    <row r="52" spans="1:6" ht="12.75">
      <c r="A52" s="22">
        <f t="shared" si="1"/>
        <v>40544</v>
      </c>
      <c r="B52" s="15">
        <v>18148281</v>
      </c>
      <c r="C52" s="15">
        <f t="shared" si="0"/>
        <v>16592226</v>
      </c>
      <c r="D52" s="15">
        <v>1556055</v>
      </c>
      <c r="E52" s="16">
        <v>939</v>
      </c>
      <c r="F52" s="15">
        <v>237</v>
      </c>
    </row>
    <row r="53" spans="1:6" ht="12.75">
      <c r="A53" s="22">
        <f t="shared" si="1"/>
        <v>40551</v>
      </c>
      <c r="B53" s="15">
        <v>14412327</v>
      </c>
      <c r="C53" s="15">
        <f t="shared" si="0"/>
        <v>13133584</v>
      </c>
      <c r="D53" s="15">
        <v>1278743</v>
      </c>
      <c r="E53" s="16">
        <v>939</v>
      </c>
      <c r="F53" s="15">
        <v>195</v>
      </c>
    </row>
    <row r="54" spans="1:6" ht="12.75">
      <c r="A54" s="22">
        <f t="shared" si="1"/>
        <v>40558</v>
      </c>
      <c r="B54" s="15">
        <v>13879556</v>
      </c>
      <c r="C54" s="15">
        <f t="shared" si="0"/>
        <v>12689977</v>
      </c>
      <c r="D54" s="15">
        <v>1189579</v>
      </c>
      <c r="E54" s="16">
        <v>939</v>
      </c>
      <c r="F54" s="15">
        <v>181</v>
      </c>
    </row>
    <row r="55" spans="1:6" ht="12.75">
      <c r="A55" s="22">
        <f t="shared" si="1"/>
        <v>40565</v>
      </c>
      <c r="B55" s="15">
        <v>12765092</v>
      </c>
      <c r="C55" s="15">
        <f t="shared" si="0"/>
        <v>11668655</v>
      </c>
      <c r="D55" s="15">
        <v>1096437</v>
      </c>
      <c r="E55" s="16">
        <v>939</v>
      </c>
      <c r="F55" s="15">
        <v>167</v>
      </c>
    </row>
    <row r="56" spans="1:6" ht="12.75">
      <c r="A56" s="22">
        <f t="shared" si="1"/>
        <v>40572</v>
      </c>
      <c r="B56" s="15">
        <v>13545777</v>
      </c>
      <c r="C56" s="15">
        <f t="shared" si="0"/>
        <v>12315110</v>
      </c>
      <c r="D56" s="15">
        <v>1230667</v>
      </c>
      <c r="E56" s="16">
        <v>939</v>
      </c>
      <c r="F56" s="15">
        <v>187</v>
      </c>
    </row>
    <row r="57" spans="1:6" ht="12.75">
      <c r="A57" s="22">
        <f t="shared" si="1"/>
        <v>40579</v>
      </c>
      <c r="B57" s="15">
        <v>15754546</v>
      </c>
      <c r="C57" s="15">
        <f t="shared" si="0"/>
        <v>14362120</v>
      </c>
      <c r="D57" s="15">
        <v>1392426</v>
      </c>
      <c r="E57" s="16">
        <v>939</v>
      </c>
      <c r="F57" s="15">
        <v>212</v>
      </c>
    </row>
    <row r="58" spans="1:6" ht="12.75">
      <c r="A58" s="22">
        <f t="shared" si="1"/>
        <v>40586</v>
      </c>
      <c r="B58" s="15">
        <v>15127170</v>
      </c>
      <c r="C58" s="15">
        <f t="shared" si="0"/>
        <v>13798997</v>
      </c>
      <c r="D58" s="15">
        <v>1328173</v>
      </c>
      <c r="E58" s="16">
        <v>939</v>
      </c>
      <c r="F58" s="15">
        <v>202</v>
      </c>
    </row>
    <row r="59" spans="1:6" ht="12.75">
      <c r="A59" s="22">
        <f t="shared" si="1"/>
        <v>40593</v>
      </c>
      <c r="B59" s="15">
        <v>16613530</v>
      </c>
      <c r="C59" s="15">
        <f t="shared" si="0"/>
        <v>15206346</v>
      </c>
      <c r="D59" s="15">
        <v>1407184</v>
      </c>
      <c r="E59" s="16">
        <v>939</v>
      </c>
      <c r="F59" s="15">
        <v>214</v>
      </c>
    </row>
    <row r="60" spans="1:6" ht="12.75">
      <c r="A60" s="22">
        <f t="shared" si="1"/>
        <v>40600</v>
      </c>
      <c r="B60" s="15">
        <v>15723633</v>
      </c>
      <c r="C60" s="15">
        <f t="shared" si="0"/>
        <v>14316231</v>
      </c>
      <c r="D60" s="15">
        <v>1407402</v>
      </c>
      <c r="E60" s="16">
        <v>939</v>
      </c>
      <c r="F60" s="15">
        <v>214</v>
      </c>
    </row>
    <row r="61" spans="1:6" ht="12.75">
      <c r="A61" s="22">
        <f t="shared" si="1"/>
        <v>40607</v>
      </c>
      <c r="B61" s="15">
        <v>18747457</v>
      </c>
      <c r="C61" s="15">
        <f t="shared" si="0"/>
        <v>17143759</v>
      </c>
      <c r="D61" s="15">
        <v>1603698</v>
      </c>
      <c r="E61" s="16">
        <v>939</v>
      </c>
      <c r="F61" s="15">
        <v>244</v>
      </c>
    </row>
    <row r="62" spans="1:6" ht="12.75">
      <c r="A62" s="22">
        <f t="shared" si="1"/>
        <v>40614</v>
      </c>
      <c r="B62" s="15">
        <v>17051829</v>
      </c>
      <c r="C62" s="15">
        <f t="shared" si="0"/>
        <v>15595222</v>
      </c>
      <c r="D62" s="15">
        <v>1456607</v>
      </c>
      <c r="E62" s="16">
        <v>939</v>
      </c>
      <c r="F62" s="15">
        <v>222</v>
      </c>
    </row>
    <row r="63" spans="1:6" ht="12.75">
      <c r="A63" s="22">
        <f t="shared" si="1"/>
        <v>40621</v>
      </c>
      <c r="B63" s="15">
        <v>17886624</v>
      </c>
      <c r="C63" s="15">
        <f t="shared" si="0"/>
        <v>16319563</v>
      </c>
      <c r="D63" s="15">
        <v>1567061</v>
      </c>
      <c r="E63" s="16">
        <v>939</v>
      </c>
      <c r="F63" s="15">
        <v>238</v>
      </c>
    </row>
    <row r="64" spans="1:6" ht="12.75">
      <c r="A64" s="22">
        <f t="shared" si="1"/>
        <v>40628</v>
      </c>
      <c r="B64" s="15">
        <v>15147883</v>
      </c>
      <c r="C64" s="15">
        <f t="shared" si="0"/>
        <v>13854595</v>
      </c>
      <c r="D64" s="15">
        <v>1293288</v>
      </c>
      <c r="E64" s="16">
        <v>939</v>
      </c>
      <c r="F64" s="15">
        <v>197</v>
      </c>
    </row>
    <row r="66" spans="1:6" ht="13.5" thickBot="1">
      <c r="A66" s="22" t="s">
        <v>8</v>
      </c>
      <c r="B66" s="17">
        <f>SUM(B13:B64)</f>
        <v>740994967</v>
      </c>
      <c r="C66" s="17">
        <f>SUM(C13:C64)</f>
        <v>676466002</v>
      </c>
      <c r="D66" s="17">
        <f>SUM(D13:D64)</f>
        <v>64528965</v>
      </c>
      <c r="E66" s="24">
        <f>SUM(E13:E65)/COUNT(E13:E65)</f>
        <v>946.0769230769231</v>
      </c>
      <c r="F66" s="17">
        <f>+D66/SUM(E13:E65)/7</f>
        <v>187.3815670263552</v>
      </c>
    </row>
    <row r="67" spans="1:4" s="21" customFormat="1" ht="13.5" thickTop="1">
      <c r="A67" s="22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11" topLeftCell="A56" activePane="bottomLeft" state="frozen"/>
      <selection pane="topLeft" activeCell="A1" sqref="A1"/>
      <selection pane="bottomLeft" activeCell="B68" sqref="B68"/>
    </sheetView>
  </sheetViews>
  <sheetFormatPr defaultColWidth="9.140625" defaultRowHeight="12.75"/>
  <cols>
    <col min="1" max="1" width="15.7109375" style="22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9" s="26" customFormat="1" ht="18">
      <c r="A1" s="42" t="s">
        <v>18</v>
      </c>
      <c r="B1" s="42"/>
      <c r="C1" s="42"/>
      <c r="D1" s="42"/>
      <c r="E1" s="42"/>
      <c r="F1" s="42"/>
      <c r="G1" s="28"/>
      <c r="H1" s="28"/>
      <c r="I1" s="28"/>
    </row>
    <row r="2" spans="1:9" s="26" customFormat="1" ht="15">
      <c r="A2" s="43" t="s">
        <v>19</v>
      </c>
      <c r="B2" s="43"/>
      <c r="C2" s="43"/>
      <c r="D2" s="43"/>
      <c r="E2" s="43"/>
      <c r="F2" s="43"/>
      <c r="G2" s="29"/>
      <c r="H2" s="29"/>
      <c r="I2" s="29"/>
    </row>
    <row r="3" spans="1:9" s="27" customFormat="1" ht="15">
      <c r="A3" s="43" t="s">
        <v>20</v>
      </c>
      <c r="B3" s="43"/>
      <c r="C3" s="43"/>
      <c r="D3" s="43"/>
      <c r="E3" s="43"/>
      <c r="F3" s="43"/>
      <c r="G3" s="29"/>
      <c r="H3" s="29"/>
      <c r="I3" s="29"/>
    </row>
    <row r="4" spans="1:9" s="27" customFormat="1" ht="14.25">
      <c r="A4" s="44" t="s">
        <v>21</v>
      </c>
      <c r="B4" s="44"/>
      <c r="C4" s="44"/>
      <c r="D4" s="44"/>
      <c r="E4" s="44"/>
      <c r="F4" s="44"/>
      <c r="G4" s="32"/>
      <c r="H4" s="30"/>
      <c r="I4" s="30"/>
    </row>
    <row r="5" spans="1:9" s="27" customFormat="1" ht="14.25">
      <c r="A5" s="45" t="s">
        <v>22</v>
      </c>
      <c r="B5" s="45"/>
      <c r="C5" s="45"/>
      <c r="D5" s="45"/>
      <c r="E5" s="45"/>
      <c r="F5" s="45"/>
      <c r="G5" s="31"/>
      <c r="H5" s="31"/>
      <c r="I5" s="31"/>
    </row>
    <row r="6" spans="1:6" s="1" customFormat="1" ht="14.25">
      <c r="A6" s="33"/>
      <c r="B6" s="2"/>
      <c r="C6" s="2"/>
      <c r="D6" s="2"/>
      <c r="E6" s="2"/>
      <c r="F6" s="2"/>
    </row>
    <row r="7" spans="1:6" s="1" customFormat="1" ht="12.75">
      <c r="A7" s="22"/>
      <c r="B7" s="4"/>
      <c r="C7" s="4"/>
      <c r="D7" s="5"/>
      <c r="E7" s="6"/>
      <c r="F7" s="5"/>
    </row>
    <row r="8" spans="1:6" s="7" customFormat="1" ht="14.25" customHeight="1">
      <c r="A8" s="46" t="s">
        <v>10</v>
      </c>
      <c r="B8" s="47"/>
      <c r="C8" s="47"/>
      <c r="D8" s="47"/>
      <c r="E8" s="47"/>
      <c r="F8" s="48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2">
      <c r="A10" s="34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35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39907</v>
      </c>
      <c r="B13" s="15">
        <v>12839413.38</v>
      </c>
      <c r="C13" s="15">
        <f>+B13-D13</f>
        <v>11724481.270000001</v>
      </c>
      <c r="D13" s="15">
        <v>1114932.11</v>
      </c>
      <c r="E13" s="16">
        <v>959</v>
      </c>
      <c r="F13" s="15">
        <v>166.08552212125724</v>
      </c>
    </row>
    <row r="14" spans="1:6" ht="12.75">
      <c r="A14" s="22">
        <v>39914</v>
      </c>
      <c r="B14" s="15">
        <v>12353604.770000001</v>
      </c>
      <c r="C14" s="15">
        <f aca="true" t="shared" si="0" ref="C14:C64">+B14-D14</f>
        <v>11249859.570000002</v>
      </c>
      <c r="D14" s="15">
        <v>1103745.2</v>
      </c>
      <c r="E14" s="16">
        <v>959</v>
      </c>
      <c r="F14" s="15">
        <v>164.419067481007</v>
      </c>
    </row>
    <row r="15" spans="1:6" ht="12.75">
      <c r="A15" s="22">
        <v>39921</v>
      </c>
      <c r="B15" s="15">
        <v>12933759.790000001</v>
      </c>
      <c r="C15" s="15">
        <f t="shared" si="0"/>
        <v>11764946.020000001</v>
      </c>
      <c r="D15" s="15">
        <v>1168813.77</v>
      </c>
      <c r="E15" s="16">
        <v>959</v>
      </c>
      <c r="F15" s="15">
        <v>174.1119871890362</v>
      </c>
    </row>
    <row r="16" spans="1:6" ht="12.75">
      <c r="A16" s="22">
        <v>39928</v>
      </c>
      <c r="B16" s="15">
        <v>13190121.74</v>
      </c>
      <c r="C16" s="15">
        <f t="shared" si="0"/>
        <v>12007096.09</v>
      </c>
      <c r="D16" s="15">
        <v>1183025.65</v>
      </c>
      <c r="E16" s="16">
        <v>959</v>
      </c>
      <c r="F16" s="15">
        <v>176.22905556383137</v>
      </c>
    </row>
    <row r="17" spans="1:6" ht="12.75">
      <c r="A17" s="22">
        <v>39935</v>
      </c>
      <c r="B17" s="15">
        <v>12687373.9</v>
      </c>
      <c r="C17" s="15">
        <f t="shared" si="0"/>
        <v>11573187.790000001</v>
      </c>
      <c r="D17" s="15">
        <v>1114186.11</v>
      </c>
      <c r="E17" s="16">
        <v>959</v>
      </c>
      <c r="F17" s="15">
        <v>165.9743944585133</v>
      </c>
    </row>
    <row r="18" spans="1:6" ht="12.75">
      <c r="A18" s="22">
        <v>39942</v>
      </c>
      <c r="B18" s="15">
        <v>13363688.55</v>
      </c>
      <c r="C18" s="15">
        <f t="shared" si="0"/>
        <v>12194182.56</v>
      </c>
      <c r="D18" s="15">
        <v>1169505.99</v>
      </c>
      <c r="E18" s="16">
        <v>959</v>
      </c>
      <c r="F18" s="15">
        <v>174.21510353046327</v>
      </c>
    </row>
    <row r="19" spans="1:6" ht="12.75">
      <c r="A19" s="22">
        <v>39949</v>
      </c>
      <c r="B19" s="15">
        <v>13395576.190000001</v>
      </c>
      <c r="C19" s="15">
        <f t="shared" si="0"/>
        <v>12195036.150000002</v>
      </c>
      <c r="D19" s="15">
        <v>1200540.04</v>
      </c>
      <c r="E19" s="16">
        <v>959</v>
      </c>
      <c r="F19" s="15">
        <v>178.83808133472365</v>
      </c>
    </row>
    <row r="20" spans="1:6" ht="12.75">
      <c r="A20" s="22">
        <v>39956</v>
      </c>
      <c r="B20" s="15">
        <v>11803536.119999997</v>
      </c>
      <c r="C20" s="15">
        <f t="shared" si="0"/>
        <v>10764459.519999998</v>
      </c>
      <c r="D20" s="15">
        <v>1039076.6</v>
      </c>
      <c r="E20" s="16">
        <v>959</v>
      </c>
      <c r="F20" s="15">
        <v>154.78572918218384</v>
      </c>
    </row>
    <row r="21" spans="1:6" ht="12.75">
      <c r="A21" s="22">
        <v>39963</v>
      </c>
      <c r="B21" s="15">
        <v>12979101.42</v>
      </c>
      <c r="C21" s="15">
        <f t="shared" si="0"/>
        <v>11835655.41</v>
      </c>
      <c r="D21" s="15">
        <v>1143446.01</v>
      </c>
      <c r="E21" s="16">
        <v>959</v>
      </c>
      <c r="F21" s="15">
        <v>170.333086548488</v>
      </c>
    </row>
    <row r="22" spans="1:6" ht="12.75">
      <c r="A22" s="22">
        <v>39970</v>
      </c>
      <c r="B22" s="15">
        <v>12793086.319999998</v>
      </c>
      <c r="C22" s="15">
        <f t="shared" si="0"/>
        <v>11674321.479999999</v>
      </c>
      <c r="D22" s="15">
        <v>1118764.84</v>
      </c>
      <c r="E22" s="16">
        <v>959</v>
      </c>
      <c r="F22" s="15">
        <v>166.656463578132</v>
      </c>
    </row>
    <row r="23" spans="1:6" ht="12.75">
      <c r="A23" s="22">
        <v>39977</v>
      </c>
      <c r="B23" s="15">
        <v>13891411.9</v>
      </c>
      <c r="C23" s="15">
        <f t="shared" si="0"/>
        <v>12681852.48</v>
      </c>
      <c r="D23" s="15">
        <v>1209559.42</v>
      </c>
      <c r="E23" s="16">
        <v>959</v>
      </c>
      <c r="F23" s="15">
        <v>180.18165052882466</v>
      </c>
    </row>
    <row r="24" spans="1:6" ht="12.75">
      <c r="A24" s="22">
        <v>39984</v>
      </c>
      <c r="B24" s="15">
        <v>12058113.53</v>
      </c>
      <c r="C24" s="15">
        <f t="shared" si="0"/>
        <v>10989396.2</v>
      </c>
      <c r="D24" s="15">
        <v>1068717.33</v>
      </c>
      <c r="E24" s="16">
        <v>959</v>
      </c>
      <c r="F24" s="15">
        <v>159.20115149709517</v>
      </c>
    </row>
    <row r="25" spans="1:6" ht="12.75">
      <c r="A25" s="22">
        <v>39991</v>
      </c>
      <c r="B25" s="15">
        <v>13000423.419999998</v>
      </c>
      <c r="C25" s="15">
        <f t="shared" si="0"/>
        <v>11909947.899999999</v>
      </c>
      <c r="D25" s="15">
        <v>1090475.52</v>
      </c>
      <c r="E25" s="16">
        <v>959</v>
      </c>
      <c r="F25" s="15">
        <v>162.44235364218682</v>
      </c>
    </row>
    <row r="26" spans="1:6" ht="12.75">
      <c r="A26" s="22">
        <v>39998</v>
      </c>
      <c r="B26" s="15">
        <v>13814952.829999998</v>
      </c>
      <c r="C26" s="15">
        <f t="shared" si="0"/>
        <v>12584622.999999998</v>
      </c>
      <c r="D26" s="15">
        <v>1230329.83</v>
      </c>
      <c r="E26" s="16">
        <v>959</v>
      </c>
      <c r="F26" s="15">
        <v>183.2757083271265</v>
      </c>
    </row>
    <row r="27" spans="1:6" ht="12.75">
      <c r="A27" s="22">
        <v>40005</v>
      </c>
      <c r="B27" s="15">
        <v>13341767.43</v>
      </c>
      <c r="C27" s="15">
        <f t="shared" si="0"/>
        <v>12202388.78</v>
      </c>
      <c r="D27" s="15">
        <v>1139378.65</v>
      </c>
      <c r="E27" s="16">
        <v>959</v>
      </c>
      <c r="F27" s="15">
        <v>169.72719350513927</v>
      </c>
    </row>
    <row r="28" spans="1:6" ht="12.75">
      <c r="A28" s="22">
        <v>40012</v>
      </c>
      <c r="B28" s="15">
        <v>13333444.320000002</v>
      </c>
      <c r="C28" s="15">
        <f t="shared" si="0"/>
        <v>12160101.580000002</v>
      </c>
      <c r="D28" s="15">
        <v>1173342.74</v>
      </c>
      <c r="E28" s="16">
        <v>959</v>
      </c>
      <c r="F28" s="15">
        <v>174.78664382541336</v>
      </c>
    </row>
    <row r="29" spans="1:6" ht="12.75">
      <c r="A29" s="22">
        <v>40019</v>
      </c>
      <c r="B29" s="15">
        <v>13896625.100000001</v>
      </c>
      <c r="C29" s="15">
        <f t="shared" si="0"/>
        <v>12682442.010000002</v>
      </c>
      <c r="D29" s="15">
        <v>1214183.09</v>
      </c>
      <c r="E29" s="16">
        <v>959</v>
      </c>
      <c r="F29" s="15">
        <v>180.8704141218531</v>
      </c>
    </row>
    <row r="30" spans="1:6" ht="12.75">
      <c r="A30" s="22">
        <v>40026</v>
      </c>
      <c r="B30" s="15">
        <v>12039056.25</v>
      </c>
      <c r="C30" s="15">
        <f t="shared" si="0"/>
        <v>10993854.46</v>
      </c>
      <c r="D30" s="15">
        <v>1045201.79</v>
      </c>
      <c r="E30" s="16">
        <v>959</v>
      </c>
      <c r="F30" s="15">
        <v>155.69816624460003</v>
      </c>
    </row>
    <row r="31" spans="1:6" ht="12.75">
      <c r="A31" s="22">
        <v>40033</v>
      </c>
      <c r="B31" s="15">
        <v>13612808.61</v>
      </c>
      <c r="C31" s="15">
        <f t="shared" si="0"/>
        <v>12425147.95</v>
      </c>
      <c r="D31" s="15">
        <v>1187660.66</v>
      </c>
      <c r="E31" s="16">
        <v>959</v>
      </c>
      <c r="F31" s="15">
        <v>176.91950841650527</v>
      </c>
    </row>
    <row r="32" spans="1:6" ht="12.75">
      <c r="A32" s="22">
        <v>40040</v>
      </c>
      <c r="B32" s="15">
        <v>7765500.210000001</v>
      </c>
      <c r="C32" s="15">
        <f t="shared" si="0"/>
        <v>7093418.950000001</v>
      </c>
      <c r="D32" s="15">
        <v>672081.26</v>
      </c>
      <c r="E32" s="16">
        <v>959</v>
      </c>
      <c r="F32" s="15">
        <v>100.1163801579026</v>
      </c>
    </row>
    <row r="33" spans="1:6" ht="12.75">
      <c r="A33" s="22">
        <v>40047</v>
      </c>
      <c r="B33" s="15">
        <v>8064331.75</v>
      </c>
      <c r="C33" s="15">
        <f t="shared" si="0"/>
        <v>7329746.25</v>
      </c>
      <c r="D33" s="15">
        <v>734585.5</v>
      </c>
      <c r="E33" s="16">
        <v>959</v>
      </c>
      <c r="F33" s="15">
        <v>109.42730522866081</v>
      </c>
    </row>
    <row r="34" spans="1:6" ht="12.75">
      <c r="A34" s="22">
        <v>40054</v>
      </c>
      <c r="B34" s="15">
        <v>11458488.56</v>
      </c>
      <c r="C34" s="15">
        <f t="shared" si="0"/>
        <v>10496339.59</v>
      </c>
      <c r="D34" s="15">
        <v>962148.97</v>
      </c>
      <c r="E34" s="16">
        <v>959</v>
      </c>
      <c r="F34" s="15">
        <v>143.3262282139133</v>
      </c>
    </row>
    <row r="35" spans="1:6" ht="12.75">
      <c r="A35" s="22">
        <v>40061</v>
      </c>
      <c r="B35" s="15">
        <v>13016354.9</v>
      </c>
      <c r="C35" s="15">
        <f t="shared" si="0"/>
        <v>11890925.27</v>
      </c>
      <c r="D35" s="15">
        <v>1125429.63</v>
      </c>
      <c r="E35" s="16">
        <v>959</v>
      </c>
      <c r="F35" s="15">
        <v>167.6492819901683</v>
      </c>
    </row>
    <row r="36" spans="1:6" ht="12.75">
      <c r="A36" s="22">
        <f>+A35+7</f>
        <v>40068</v>
      </c>
      <c r="B36" s="15">
        <v>13145565.620000001</v>
      </c>
      <c r="C36" s="15">
        <f t="shared" si="0"/>
        <v>12009346.040000001</v>
      </c>
      <c r="D36" s="15">
        <v>1136219.58</v>
      </c>
      <c r="E36" s="16">
        <v>959</v>
      </c>
      <c r="F36" s="15">
        <v>169.25660360494564</v>
      </c>
    </row>
    <row r="37" spans="1:6" ht="12.75">
      <c r="A37" s="22">
        <f aca="true" t="shared" si="1" ref="A37:A64">+A36+7</f>
        <v>40075</v>
      </c>
      <c r="B37" s="15">
        <v>11159472.669999998</v>
      </c>
      <c r="C37" s="15">
        <f t="shared" si="0"/>
        <v>10223460.749999998</v>
      </c>
      <c r="D37" s="15">
        <v>936011.92</v>
      </c>
      <c r="E37" s="16">
        <v>959</v>
      </c>
      <c r="F37" s="15">
        <v>139</v>
      </c>
    </row>
    <row r="38" spans="1:6" ht="12.75">
      <c r="A38" s="22">
        <f t="shared" si="1"/>
        <v>40082</v>
      </c>
      <c r="B38" s="15">
        <v>11372815</v>
      </c>
      <c r="C38" s="15">
        <f t="shared" si="0"/>
        <v>10324268</v>
      </c>
      <c r="D38" s="15">
        <v>1048547</v>
      </c>
      <c r="E38" s="16">
        <v>959</v>
      </c>
      <c r="F38" s="15">
        <v>156</v>
      </c>
    </row>
    <row r="39" spans="1:6" ht="12.75">
      <c r="A39" s="22">
        <f t="shared" si="1"/>
        <v>40089</v>
      </c>
      <c r="B39" s="15">
        <v>12238280</v>
      </c>
      <c r="C39" s="15">
        <f t="shared" si="0"/>
        <v>11110943</v>
      </c>
      <c r="D39" s="15">
        <v>1127337</v>
      </c>
      <c r="E39" s="16">
        <v>959</v>
      </c>
      <c r="F39" s="15">
        <v>168</v>
      </c>
    </row>
    <row r="40" spans="1:6" ht="12.75">
      <c r="A40" s="22">
        <f t="shared" si="1"/>
        <v>40096</v>
      </c>
      <c r="B40" s="15">
        <v>11176448</v>
      </c>
      <c r="C40" s="15">
        <f t="shared" si="0"/>
        <v>10198022</v>
      </c>
      <c r="D40" s="15">
        <v>978426</v>
      </c>
      <c r="E40" s="16">
        <v>959</v>
      </c>
      <c r="F40" s="15">
        <v>146</v>
      </c>
    </row>
    <row r="41" spans="1:6" ht="12.75">
      <c r="A41" s="22">
        <f t="shared" si="1"/>
        <v>40103</v>
      </c>
      <c r="B41" s="15">
        <v>11585088</v>
      </c>
      <c r="C41" s="15">
        <f t="shared" si="0"/>
        <v>10560531</v>
      </c>
      <c r="D41" s="15">
        <v>1024557</v>
      </c>
      <c r="E41" s="16">
        <v>959</v>
      </c>
      <c r="F41" s="15">
        <v>153</v>
      </c>
    </row>
    <row r="42" spans="1:6" ht="12.75">
      <c r="A42" s="22">
        <f t="shared" si="1"/>
        <v>40110</v>
      </c>
      <c r="B42" s="15">
        <v>10876334</v>
      </c>
      <c r="C42" s="15">
        <f t="shared" si="0"/>
        <v>9934517</v>
      </c>
      <c r="D42" s="15">
        <v>941817</v>
      </c>
      <c r="E42" s="16">
        <v>959</v>
      </c>
      <c r="F42" s="15">
        <v>140</v>
      </c>
    </row>
    <row r="43" spans="1:6" ht="12.75">
      <c r="A43" s="22">
        <f t="shared" si="1"/>
        <v>40117</v>
      </c>
      <c r="B43" s="15">
        <v>11763663</v>
      </c>
      <c r="C43" s="15">
        <f t="shared" si="0"/>
        <v>10773399</v>
      </c>
      <c r="D43" s="15">
        <v>990264</v>
      </c>
      <c r="E43" s="16">
        <v>959</v>
      </c>
      <c r="F43" s="15">
        <v>148</v>
      </c>
    </row>
    <row r="44" spans="1:6" ht="12.75">
      <c r="A44" s="22">
        <f t="shared" si="1"/>
        <v>40124</v>
      </c>
      <c r="B44" s="15">
        <v>12053153</v>
      </c>
      <c r="C44" s="15">
        <f t="shared" si="0"/>
        <v>10992662</v>
      </c>
      <c r="D44" s="15">
        <v>1060491</v>
      </c>
      <c r="E44" s="16">
        <v>959</v>
      </c>
      <c r="F44" s="15">
        <v>158</v>
      </c>
    </row>
    <row r="45" spans="1:6" ht="12.75">
      <c r="A45" s="22">
        <f t="shared" si="1"/>
        <v>40131</v>
      </c>
      <c r="B45" s="15">
        <v>11855198</v>
      </c>
      <c r="C45" s="15">
        <f t="shared" si="0"/>
        <v>10804954</v>
      </c>
      <c r="D45" s="15">
        <v>1050244</v>
      </c>
      <c r="E45" s="16">
        <v>959</v>
      </c>
      <c r="F45" s="15">
        <v>156</v>
      </c>
    </row>
    <row r="46" spans="1:6" ht="12.75">
      <c r="A46" s="22">
        <f t="shared" si="1"/>
        <v>40138</v>
      </c>
      <c r="B46" s="15">
        <v>10662486</v>
      </c>
      <c r="C46" s="15">
        <f t="shared" si="0"/>
        <v>9692133</v>
      </c>
      <c r="D46" s="15">
        <v>970353</v>
      </c>
      <c r="E46" s="16">
        <v>959</v>
      </c>
      <c r="F46" s="15">
        <v>145</v>
      </c>
    </row>
    <row r="47" spans="1:6" ht="12.75">
      <c r="A47" s="22">
        <f t="shared" si="1"/>
        <v>40145</v>
      </c>
      <c r="B47" s="15">
        <v>11218621</v>
      </c>
      <c r="C47" s="15">
        <f t="shared" si="0"/>
        <v>10191622</v>
      </c>
      <c r="D47" s="15">
        <v>1026999</v>
      </c>
      <c r="E47" s="16">
        <v>959</v>
      </c>
      <c r="F47" s="15">
        <v>153</v>
      </c>
    </row>
    <row r="48" spans="1:6" ht="12.75">
      <c r="A48" s="22">
        <f t="shared" si="1"/>
        <v>40152</v>
      </c>
      <c r="B48" s="15">
        <v>11437541</v>
      </c>
      <c r="C48" s="15">
        <f t="shared" si="0"/>
        <v>10339663</v>
      </c>
      <c r="D48" s="15">
        <v>1097878</v>
      </c>
      <c r="E48" s="16">
        <v>959</v>
      </c>
      <c r="F48" s="15">
        <v>164</v>
      </c>
    </row>
    <row r="49" spans="1:6" ht="12.75">
      <c r="A49" s="22">
        <f t="shared" si="1"/>
        <v>40159</v>
      </c>
      <c r="B49" s="15">
        <v>8140855</v>
      </c>
      <c r="C49" s="15">
        <f t="shared" si="0"/>
        <v>7426334</v>
      </c>
      <c r="D49" s="15">
        <v>714521</v>
      </c>
      <c r="E49" s="16">
        <v>959</v>
      </c>
      <c r="F49" s="15">
        <v>106</v>
      </c>
    </row>
    <row r="50" spans="1:6" ht="12.75">
      <c r="A50" s="22">
        <f t="shared" si="1"/>
        <v>40166</v>
      </c>
      <c r="B50" s="15">
        <v>10583681</v>
      </c>
      <c r="C50" s="15">
        <f t="shared" si="0"/>
        <v>9651632</v>
      </c>
      <c r="D50" s="15">
        <v>932049</v>
      </c>
      <c r="E50" s="16">
        <v>959</v>
      </c>
      <c r="F50" s="15">
        <v>139</v>
      </c>
    </row>
    <row r="51" spans="1:6" ht="12.75">
      <c r="A51" s="22">
        <f t="shared" si="1"/>
        <v>40173</v>
      </c>
      <c r="B51" s="15">
        <v>10905233</v>
      </c>
      <c r="C51" s="15">
        <f t="shared" si="0"/>
        <v>9988551</v>
      </c>
      <c r="D51" s="15">
        <v>916682</v>
      </c>
      <c r="E51" s="16">
        <v>959</v>
      </c>
      <c r="F51" s="15">
        <v>137</v>
      </c>
    </row>
    <row r="52" spans="1:6" ht="12.75">
      <c r="A52" s="22">
        <f t="shared" si="1"/>
        <v>40180</v>
      </c>
      <c r="B52" s="15">
        <v>12132550</v>
      </c>
      <c r="C52" s="15">
        <f t="shared" si="0"/>
        <v>11030715</v>
      </c>
      <c r="D52" s="15">
        <v>1101835</v>
      </c>
      <c r="E52" s="16">
        <v>959</v>
      </c>
      <c r="F52" s="15">
        <v>164</v>
      </c>
    </row>
    <row r="53" spans="1:6" ht="12.75">
      <c r="A53" s="22">
        <f t="shared" si="1"/>
        <v>40187</v>
      </c>
      <c r="B53" s="15">
        <v>10697964</v>
      </c>
      <c r="C53" s="15">
        <f t="shared" si="0"/>
        <v>9799958</v>
      </c>
      <c r="D53" s="15">
        <v>898006</v>
      </c>
      <c r="E53" s="16">
        <v>959</v>
      </c>
      <c r="F53" s="15">
        <v>134</v>
      </c>
    </row>
    <row r="54" spans="1:6" ht="12.75">
      <c r="A54" s="22">
        <f t="shared" si="1"/>
        <v>40194</v>
      </c>
      <c r="B54" s="15">
        <v>12556215</v>
      </c>
      <c r="C54" s="15">
        <f t="shared" si="0"/>
        <v>11422925</v>
      </c>
      <c r="D54" s="15">
        <v>1133290</v>
      </c>
      <c r="E54" s="16">
        <v>959</v>
      </c>
      <c r="F54" s="15">
        <v>169</v>
      </c>
    </row>
    <row r="55" spans="1:6" ht="12.75">
      <c r="A55" s="22">
        <f t="shared" si="1"/>
        <v>40201</v>
      </c>
      <c r="B55" s="15">
        <v>11498763</v>
      </c>
      <c r="C55" s="15">
        <f t="shared" si="0"/>
        <v>10455043</v>
      </c>
      <c r="D55" s="15">
        <v>1043720</v>
      </c>
      <c r="E55" s="16">
        <v>959</v>
      </c>
      <c r="F55" s="15">
        <v>155</v>
      </c>
    </row>
    <row r="56" spans="1:6" ht="12.75">
      <c r="A56" s="22">
        <f t="shared" si="1"/>
        <v>40208</v>
      </c>
      <c r="B56" s="15">
        <v>10176237</v>
      </c>
      <c r="C56" s="15">
        <f t="shared" si="0"/>
        <v>9256402</v>
      </c>
      <c r="D56" s="15">
        <v>919835</v>
      </c>
      <c r="E56" s="16">
        <v>959</v>
      </c>
      <c r="F56" s="15">
        <v>137</v>
      </c>
    </row>
    <row r="57" spans="1:6" ht="12.75">
      <c r="A57" s="22">
        <f t="shared" si="1"/>
        <v>40215</v>
      </c>
      <c r="B57" s="15">
        <v>15034919</v>
      </c>
      <c r="C57" s="15">
        <f t="shared" si="0"/>
        <v>13680125</v>
      </c>
      <c r="D57" s="15">
        <v>1354794</v>
      </c>
      <c r="E57" s="16">
        <v>959</v>
      </c>
      <c r="F57" s="15">
        <v>202</v>
      </c>
    </row>
    <row r="58" spans="1:6" ht="12.75">
      <c r="A58" s="22">
        <f t="shared" si="1"/>
        <v>40222</v>
      </c>
      <c r="B58" s="15">
        <v>11439655</v>
      </c>
      <c r="C58" s="15">
        <f t="shared" si="0"/>
        <v>10400999</v>
      </c>
      <c r="D58" s="15">
        <v>1038656</v>
      </c>
      <c r="E58" s="16">
        <v>959</v>
      </c>
      <c r="F58" s="15">
        <v>155</v>
      </c>
    </row>
    <row r="59" spans="1:6" ht="12.75">
      <c r="A59" s="22">
        <f t="shared" si="1"/>
        <v>40229</v>
      </c>
      <c r="B59" s="15">
        <v>12750241</v>
      </c>
      <c r="C59" s="15">
        <f t="shared" si="0"/>
        <v>11583762</v>
      </c>
      <c r="D59" s="15">
        <v>1166479</v>
      </c>
      <c r="E59" s="16">
        <v>959</v>
      </c>
      <c r="F59" s="15">
        <v>174</v>
      </c>
    </row>
    <row r="60" spans="1:6" ht="12.75">
      <c r="A60" s="22">
        <f t="shared" si="1"/>
        <v>40236</v>
      </c>
      <c r="B60" s="15">
        <v>11056360</v>
      </c>
      <c r="C60" s="15">
        <f t="shared" si="0"/>
        <v>10111954</v>
      </c>
      <c r="D60" s="15">
        <v>944406</v>
      </c>
      <c r="E60" s="16">
        <v>959</v>
      </c>
      <c r="F60" s="15">
        <v>141</v>
      </c>
    </row>
    <row r="61" spans="1:6" ht="12.75">
      <c r="A61" s="22">
        <f t="shared" si="1"/>
        <v>40243</v>
      </c>
      <c r="B61" s="15">
        <v>14678798</v>
      </c>
      <c r="C61" s="15">
        <f t="shared" si="0"/>
        <v>13409947</v>
      </c>
      <c r="D61" s="15">
        <v>1268851</v>
      </c>
      <c r="E61" s="16">
        <v>959</v>
      </c>
      <c r="F61" s="15">
        <v>189</v>
      </c>
    </row>
    <row r="62" spans="1:6" ht="12.75">
      <c r="A62" s="22">
        <f t="shared" si="1"/>
        <v>40250</v>
      </c>
      <c r="B62" s="15">
        <v>12806470</v>
      </c>
      <c r="C62" s="15">
        <f t="shared" si="0"/>
        <v>11692561</v>
      </c>
      <c r="D62" s="15">
        <v>1113909</v>
      </c>
      <c r="E62" s="16">
        <v>959</v>
      </c>
      <c r="F62" s="15">
        <v>166</v>
      </c>
    </row>
    <row r="63" spans="1:6" ht="12.75">
      <c r="A63" s="22">
        <f t="shared" si="1"/>
        <v>40257</v>
      </c>
      <c r="B63" s="15">
        <v>14564735</v>
      </c>
      <c r="C63" s="15">
        <f t="shared" si="0"/>
        <v>13231452</v>
      </c>
      <c r="D63" s="15">
        <v>1333283</v>
      </c>
      <c r="E63" s="16">
        <v>959</v>
      </c>
      <c r="F63" s="15">
        <v>199</v>
      </c>
    </row>
    <row r="64" spans="1:6" ht="12.75">
      <c r="A64" s="22">
        <f t="shared" si="1"/>
        <v>40264</v>
      </c>
      <c r="B64" s="15">
        <v>11942181</v>
      </c>
      <c r="C64" s="15">
        <f t="shared" si="0"/>
        <v>10880160</v>
      </c>
      <c r="D64" s="15">
        <v>1062021</v>
      </c>
      <c r="E64" s="16">
        <v>959</v>
      </c>
      <c r="F64" s="15">
        <v>158</v>
      </c>
    </row>
    <row r="66" spans="1:6" ht="13.5" thickBot="1">
      <c r="A66" s="22" t="s">
        <v>8</v>
      </c>
      <c r="B66" s="17">
        <f>SUM(B13:B64)</f>
        <v>629142063.28</v>
      </c>
      <c r="C66" s="17">
        <f>SUM(C13:C64)</f>
        <v>573601451.0699999</v>
      </c>
      <c r="D66" s="17">
        <f>SUM(D13:D64)</f>
        <v>55540612.21</v>
      </c>
      <c r="E66" s="24">
        <f>SUM(E13:E65)/COUNT(E13:E65)</f>
        <v>959</v>
      </c>
      <c r="F66" s="17">
        <f>+D66/SUM(E13:E65)/7</f>
        <v>159.10750727635244</v>
      </c>
    </row>
    <row r="67" spans="1:4" s="21" customFormat="1" ht="13.5" thickTop="1">
      <c r="A67" s="22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pane ySplit="11" topLeftCell="A60" activePane="bottomLeft" state="frozen"/>
      <selection pane="topLeft" activeCell="A1" sqref="A1"/>
      <selection pane="bottomLeft" activeCell="A69" sqref="A69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10" s="26" customFormat="1" ht="18">
      <c r="A1" s="42" t="s">
        <v>18</v>
      </c>
      <c r="B1" s="42"/>
      <c r="C1" s="42"/>
      <c r="D1" s="42"/>
      <c r="E1" s="42"/>
      <c r="F1" s="42"/>
      <c r="G1" s="28"/>
      <c r="H1" s="28"/>
      <c r="I1" s="28"/>
      <c r="J1" s="28"/>
    </row>
    <row r="2" spans="1:10" s="26" customFormat="1" ht="15">
      <c r="A2" s="43" t="s">
        <v>19</v>
      </c>
      <c r="B2" s="43"/>
      <c r="C2" s="43"/>
      <c r="D2" s="43"/>
      <c r="E2" s="43"/>
      <c r="F2" s="43"/>
      <c r="G2" s="29"/>
      <c r="H2" s="29"/>
      <c r="I2" s="29"/>
      <c r="J2" s="29"/>
    </row>
    <row r="3" spans="1:10" s="27" customFormat="1" ht="15">
      <c r="A3" s="43" t="s">
        <v>20</v>
      </c>
      <c r="B3" s="43"/>
      <c r="C3" s="43"/>
      <c r="D3" s="43"/>
      <c r="E3" s="43"/>
      <c r="F3" s="43"/>
      <c r="G3" s="29"/>
      <c r="H3" s="29"/>
      <c r="I3" s="29"/>
      <c r="J3" s="29"/>
    </row>
    <row r="4" spans="1:10" s="27" customFormat="1" ht="14.25">
      <c r="A4" s="44" t="s">
        <v>21</v>
      </c>
      <c r="B4" s="44"/>
      <c r="C4" s="44"/>
      <c r="D4" s="44"/>
      <c r="E4" s="44"/>
      <c r="F4" s="44"/>
      <c r="G4" s="32"/>
      <c r="H4" s="30"/>
      <c r="I4" s="30"/>
      <c r="J4" s="30"/>
    </row>
    <row r="5" spans="1:10" s="27" customFormat="1" ht="14.25">
      <c r="A5" s="45" t="s">
        <v>22</v>
      </c>
      <c r="B5" s="45"/>
      <c r="C5" s="45"/>
      <c r="D5" s="45"/>
      <c r="E5" s="45"/>
      <c r="F5" s="45"/>
      <c r="G5" s="31"/>
      <c r="H5" s="31"/>
      <c r="I5" s="31"/>
      <c r="J5" s="31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46" t="s">
        <v>9</v>
      </c>
      <c r="B8" s="47"/>
      <c r="C8" s="47"/>
      <c r="D8" s="47"/>
      <c r="E8" s="47"/>
      <c r="F8" s="48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39543</v>
      </c>
      <c r="B13" s="15">
        <v>11633435.199999997</v>
      </c>
      <c r="C13" s="15">
        <f>+B13-D13</f>
        <v>10591536.269999998</v>
      </c>
      <c r="D13" s="15">
        <v>1041898.93</v>
      </c>
      <c r="E13" s="16">
        <v>959</v>
      </c>
      <c r="F13" s="15">
        <v>155.20615671085955</v>
      </c>
    </row>
    <row r="14" spans="1:6" ht="12.75">
      <c r="A14" s="22">
        <v>39550</v>
      </c>
      <c r="B14" s="15">
        <v>11837626.810000002</v>
      </c>
      <c r="C14" s="15">
        <f aca="true" t="shared" si="0" ref="C14:C64">+B14-D14</f>
        <v>10835708.140000002</v>
      </c>
      <c r="D14" s="15">
        <v>1001918.67</v>
      </c>
      <c r="E14" s="16">
        <v>959</v>
      </c>
      <c r="F14" s="15">
        <v>149.25050945925815</v>
      </c>
    </row>
    <row r="15" spans="1:6" ht="12.75">
      <c r="A15" s="22">
        <v>39557</v>
      </c>
      <c r="B15" s="15">
        <v>11264465.350000001</v>
      </c>
      <c r="C15" s="15">
        <f t="shared" si="0"/>
        <v>10254675.360000001</v>
      </c>
      <c r="D15" s="15">
        <v>1009789.99</v>
      </c>
      <c r="E15" s="16">
        <v>959</v>
      </c>
      <c r="F15" s="15">
        <v>150.42305824519588</v>
      </c>
    </row>
    <row r="16" spans="1:6" ht="12.75">
      <c r="A16" s="22">
        <v>39564</v>
      </c>
      <c r="B16" s="15">
        <v>11339532.07</v>
      </c>
      <c r="C16" s="15">
        <f t="shared" si="0"/>
        <v>10338376.16</v>
      </c>
      <c r="D16" s="15">
        <v>1001155.91</v>
      </c>
      <c r="E16" s="16">
        <v>959</v>
      </c>
      <c r="F16" s="15">
        <v>149.13688514821985</v>
      </c>
    </row>
    <row r="17" spans="1:6" ht="12.75">
      <c r="A17" s="22">
        <v>39571</v>
      </c>
      <c r="B17" s="15">
        <v>12563400.040000001</v>
      </c>
      <c r="C17" s="15">
        <f t="shared" si="0"/>
        <v>11498068.15</v>
      </c>
      <c r="D17" s="15">
        <v>1065331.89</v>
      </c>
      <c r="E17" s="16">
        <v>959</v>
      </c>
      <c r="F17" s="15">
        <v>158.6968404588113</v>
      </c>
    </row>
    <row r="18" spans="1:6" ht="12.75">
      <c r="A18" s="22">
        <v>39578</v>
      </c>
      <c r="B18" s="15">
        <v>11388984.42</v>
      </c>
      <c r="C18" s="15">
        <f t="shared" si="0"/>
        <v>10388757.48</v>
      </c>
      <c r="D18" s="15">
        <v>1000226.94</v>
      </c>
      <c r="E18" s="16">
        <v>959</v>
      </c>
      <c r="F18" s="15">
        <v>148.9985014151646</v>
      </c>
    </row>
    <row r="19" spans="1:6" ht="12.75">
      <c r="A19" s="22">
        <v>39585</v>
      </c>
      <c r="B19" s="15">
        <v>12592844.409999998</v>
      </c>
      <c r="C19" s="15">
        <f t="shared" si="0"/>
        <v>11483170.899999999</v>
      </c>
      <c r="D19" s="15">
        <v>1109673.51</v>
      </c>
      <c r="E19" s="16">
        <v>959</v>
      </c>
      <c r="F19" s="15">
        <v>165.30217637419932</v>
      </c>
    </row>
    <row r="20" spans="1:6" ht="12.75">
      <c r="A20" s="22">
        <v>39592</v>
      </c>
      <c r="B20" s="15">
        <v>11143613.969999999</v>
      </c>
      <c r="C20" s="15">
        <f t="shared" si="0"/>
        <v>10148455.459999999</v>
      </c>
      <c r="D20" s="15">
        <v>995158.51</v>
      </c>
      <c r="E20" s="16">
        <v>959</v>
      </c>
      <c r="F20" s="15">
        <v>148.24348428422465</v>
      </c>
    </row>
    <row r="21" spans="1:6" ht="12.75">
      <c r="A21" s="22">
        <v>39599</v>
      </c>
      <c r="B21" s="15">
        <v>12790685.47</v>
      </c>
      <c r="C21" s="15">
        <f t="shared" si="0"/>
        <v>11685832.47</v>
      </c>
      <c r="D21" s="15">
        <v>1104853</v>
      </c>
      <c r="E21" s="16">
        <v>959</v>
      </c>
      <c r="F21" s="15">
        <v>164.58409057053478</v>
      </c>
    </row>
    <row r="22" spans="1:6" ht="12.75">
      <c r="A22" s="22">
        <v>39606</v>
      </c>
      <c r="B22" s="15">
        <v>10909894.1</v>
      </c>
      <c r="C22" s="15">
        <f t="shared" si="0"/>
        <v>9999651.28</v>
      </c>
      <c r="D22" s="15">
        <v>910242.82</v>
      </c>
      <c r="E22" s="16">
        <v>959</v>
      </c>
      <c r="F22" s="15">
        <v>135.59404439147923</v>
      </c>
    </row>
    <row r="23" spans="1:6" ht="12.75">
      <c r="A23" s="22">
        <v>39613</v>
      </c>
      <c r="B23" s="15">
        <v>11326501.600000001</v>
      </c>
      <c r="C23" s="15">
        <f t="shared" si="0"/>
        <v>10315680.200000001</v>
      </c>
      <c r="D23" s="15">
        <v>1010821.4</v>
      </c>
      <c r="E23" s="16">
        <v>959</v>
      </c>
      <c r="F23" s="15">
        <v>150.57670192164457</v>
      </c>
    </row>
    <row r="24" spans="1:6" ht="12.75">
      <c r="A24" s="22">
        <v>39620</v>
      </c>
      <c r="B24" s="15">
        <v>11396609.86</v>
      </c>
      <c r="C24" s="15">
        <f t="shared" si="0"/>
        <v>10392745.35</v>
      </c>
      <c r="D24" s="15">
        <v>1003864.51</v>
      </c>
      <c r="E24" s="16">
        <v>959</v>
      </c>
      <c r="F24" s="15">
        <v>149.54037092209145</v>
      </c>
    </row>
    <row r="25" spans="1:6" ht="12.75">
      <c r="A25" s="22">
        <v>39627</v>
      </c>
      <c r="B25" s="15">
        <v>11234401.63</v>
      </c>
      <c r="C25" s="15">
        <f t="shared" si="0"/>
        <v>10294672.73</v>
      </c>
      <c r="D25" s="15">
        <v>939728.9</v>
      </c>
      <c r="E25" s="16">
        <v>959</v>
      </c>
      <c r="F25" s="15">
        <v>139.98642931625204</v>
      </c>
    </row>
    <row r="26" spans="1:6" ht="12.75">
      <c r="A26" s="22">
        <v>39634</v>
      </c>
      <c r="B26" s="15">
        <v>12233511.58</v>
      </c>
      <c r="C26" s="15">
        <f t="shared" si="0"/>
        <v>11163052.56</v>
      </c>
      <c r="D26" s="15">
        <v>1070459.02</v>
      </c>
      <c r="E26" s="16">
        <v>959</v>
      </c>
      <c r="F26" s="15">
        <v>159.46060181736928</v>
      </c>
    </row>
    <row r="27" spans="1:6" ht="12.75">
      <c r="A27" s="22">
        <v>39641</v>
      </c>
      <c r="B27" s="15">
        <v>12203211.349999998</v>
      </c>
      <c r="C27" s="15">
        <f t="shared" si="0"/>
        <v>11136359.169999998</v>
      </c>
      <c r="D27" s="15">
        <v>1066852.18</v>
      </c>
      <c r="E27" s="16">
        <v>959</v>
      </c>
      <c r="F27" s="15">
        <v>158.92330999553104</v>
      </c>
    </row>
    <row r="28" spans="1:6" ht="12.75">
      <c r="A28" s="22">
        <v>39648</v>
      </c>
      <c r="B28" s="15">
        <v>12177012.280000001</v>
      </c>
      <c r="C28" s="15">
        <f t="shared" si="0"/>
        <v>11049387.600000001</v>
      </c>
      <c r="D28" s="15">
        <v>1127624.68</v>
      </c>
      <c r="E28" s="16">
        <v>959</v>
      </c>
      <c r="F28" s="15">
        <v>167.97626694473408</v>
      </c>
    </row>
    <row r="29" spans="1:6" ht="12.75">
      <c r="A29" s="22">
        <v>39655</v>
      </c>
      <c r="B29" s="15">
        <v>11889095.81</v>
      </c>
      <c r="C29" s="15">
        <f t="shared" si="0"/>
        <v>10882016.370000001</v>
      </c>
      <c r="D29" s="15">
        <v>1007079.44</v>
      </c>
      <c r="E29" s="16">
        <v>959</v>
      </c>
      <c r="F29" s="15">
        <v>150.01928199016834</v>
      </c>
    </row>
    <row r="30" spans="1:6" ht="12.75">
      <c r="A30" s="22">
        <v>39662</v>
      </c>
      <c r="B30" s="15">
        <v>11529165.33</v>
      </c>
      <c r="C30" s="15">
        <f t="shared" si="0"/>
        <v>10607466.56</v>
      </c>
      <c r="D30" s="15">
        <v>921698.77</v>
      </c>
      <c r="E30" s="16">
        <v>959</v>
      </c>
      <c r="F30" s="15">
        <v>137.30057649337107</v>
      </c>
    </row>
    <row r="31" spans="1:6" ht="12.75">
      <c r="A31" s="22">
        <v>39669</v>
      </c>
      <c r="B31" s="15">
        <v>8040217.15</v>
      </c>
      <c r="C31" s="15">
        <f t="shared" si="0"/>
        <v>7306344.48</v>
      </c>
      <c r="D31" s="15">
        <v>733872.67</v>
      </c>
      <c r="E31" s="16">
        <v>959</v>
      </c>
      <c r="F31" s="15">
        <v>109.32111872486222</v>
      </c>
    </row>
    <row r="32" spans="1:6" ht="12.75">
      <c r="A32" s="22">
        <v>39676</v>
      </c>
      <c r="B32" s="15">
        <v>8570114.59</v>
      </c>
      <c r="C32" s="15">
        <f t="shared" si="0"/>
        <v>7824756.1899999995</v>
      </c>
      <c r="D32" s="15">
        <v>745358.4</v>
      </c>
      <c r="E32" s="16">
        <v>959</v>
      </c>
      <c r="F32" s="15">
        <v>111.03208699538209</v>
      </c>
    </row>
    <row r="33" spans="1:6" ht="12.75">
      <c r="A33" s="22">
        <v>39683</v>
      </c>
      <c r="B33" s="15">
        <v>10586448.299999999</v>
      </c>
      <c r="C33" s="15">
        <f t="shared" si="0"/>
        <v>9643729.749999998</v>
      </c>
      <c r="D33" s="15">
        <v>942718.55</v>
      </c>
      <c r="E33" s="16">
        <v>959</v>
      </c>
      <c r="F33" s="15">
        <v>140.4317816177566</v>
      </c>
    </row>
    <row r="34" spans="1:6" ht="12.75">
      <c r="A34" s="22">
        <v>39690</v>
      </c>
      <c r="B34" s="15">
        <v>11266017.77</v>
      </c>
      <c r="C34" s="15">
        <f t="shared" si="0"/>
        <v>10294252.459999999</v>
      </c>
      <c r="D34" s="15">
        <v>971765.31</v>
      </c>
      <c r="E34" s="16">
        <v>959</v>
      </c>
      <c r="F34" s="15">
        <v>144.75872337256072</v>
      </c>
    </row>
    <row r="35" spans="1:6" ht="12.75">
      <c r="A35" s="22">
        <v>39697</v>
      </c>
      <c r="B35" s="15">
        <v>11853752.040000001</v>
      </c>
      <c r="C35" s="15">
        <f t="shared" si="0"/>
        <v>10841440.770000001</v>
      </c>
      <c r="D35" s="15">
        <v>1012311.27</v>
      </c>
      <c r="E35" s="16">
        <v>959</v>
      </c>
      <c r="F35" s="15">
        <v>150.7986399523313</v>
      </c>
    </row>
    <row r="36" spans="1:6" ht="12.75">
      <c r="A36" s="22">
        <v>39704</v>
      </c>
      <c r="B36" s="15">
        <v>11346293.32</v>
      </c>
      <c r="C36" s="15">
        <f t="shared" si="0"/>
        <v>10307907.44</v>
      </c>
      <c r="D36" s="15">
        <v>1038385.88</v>
      </c>
      <c r="E36" s="16">
        <v>959</v>
      </c>
      <c r="F36" s="15">
        <v>154.6828362877998</v>
      </c>
    </row>
    <row r="37" spans="1:6" ht="12.75">
      <c r="A37" s="22">
        <v>39711</v>
      </c>
      <c r="B37" s="15">
        <v>11050650.569999997</v>
      </c>
      <c r="C37" s="15">
        <f t="shared" si="0"/>
        <v>10038893.469999997</v>
      </c>
      <c r="D37" s="15">
        <v>1011757.1</v>
      </c>
      <c r="E37" s="16">
        <v>959</v>
      </c>
      <c r="F37" s="15">
        <v>150.71608818709967</v>
      </c>
    </row>
    <row r="38" spans="1:6" ht="12.75">
      <c r="A38" s="22">
        <v>39718</v>
      </c>
      <c r="B38" s="15">
        <v>10859313.44</v>
      </c>
      <c r="C38" s="15">
        <f t="shared" si="0"/>
        <v>9928447.889999999</v>
      </c>
      <c r="D38" s="15">
        <v>930865.55</v>
      </c>
      <c r="E38" s="16">
        <v>959</v>
      </c>
      <c r="F38" s="15">
        <v>138.6661030835692</v>
      </c>
    </row>
    <row r="39" spans="1:6" ht="12.75">
      <c r="A39" s="22">
        <v>39725</v>
      </c>
      <c r="B39" s="15">
        <v>11954254.950000001</v>
      </c>
      <c r="C39" s="15">
        <f t="shared" si="0"/>
        <v>10912068.330000002</v>
      </c>
      <c r="D39" s="15">
        <v>1042186.62</v>
      </c>
      <c r="E39" s="16">
        <v>959</v>
      </c>
      <c r="F39" s="15">
        <v>155.24901236406973</v>
      </c>
    </row>
    <row r="40" spans="1:6" ht="12.75">
      <c r="A40" s="22">
        <v>39732</v>
      </c>
      <c r="B40" s="15">
        <v>11311132.88</v>
      </c>
      <c r="C40" s="15">
        <f t="shared" si="0"/>
        <v>10304996.350000001</v>
      </c>
      <c r="D40" s="15">
        <v>1006136.53</v>
      </c>
      <c r="E40" s="16">
        <v>959</v>
      </c>
      <c r="F40" s="15">
        <v>149.87882168925964</v>
      </c>
    </row>
    <row r="41" spans="1:6" ht="12.75">
      <c r="A41" s="22">
        <v>39739</v>
      </c>
      <c r="B41" s="15">
        <v>11733747.010000002</v>
      </c>
      <c r="C41" s="15">
        <f t="shared" si="0"/>
        <v>10667141.320000002</v>
      </c>
      <c r="D41" s="15">
        <v>1066605.69</v>
      </c>
      <c r="E41" s="16">
        <v>959</v>
      </c>
      <c r="F41" s="15">
        <v>158.88659168777</v>
      </c>
    </row>
    <row r="42" spans="1:6" ht="12.75">
      <c r="A42" s="22">
        <v>39746</v>
      </c>
      <c r="B42" s="15">
        <v>10813950.249999998</v>
      </c>
      <c r="C42" s="15">
        <f t="shared" si="0"/>
        <v>9867311.189999998</v>
      </c>
      <c r="D42" s="15">
        <v>946639.06</v>
      </c>
      <c r="E42" s="16">
        <v>959</v>
      </c>
      <c r="F42" s="15">
        <v>141.01579919559066</v>
      </c>
    </row>
    <row r="43" spans="1:6" ht="12.75">
      <c r="A43" s="22">
        <v>39753</v>
      </c>
      <c r="B43" s="15">
        <v>10037584.069999998</v>
      </c>
      <c r="C43" s="15">
        <f t="shared" si="0"/>
        <v>9129937.129999999</v>
      </c>
      <c r="D43" s="15">
        <v>907646.94</v>
      </c>
      <c r="E43" s="16">
        <v>959</v>
      </c>
      <c r="F43" s="15">
        <v>135.2073499180694</v>
      </c>
    </row>
    <row r="44" spans="1:6" ht="12.75">
      <c r="A44" s="22">
        <v>39760</v>
      </c>
      <c r="B44" s="15">
        <v>11408226.439999998</v>
      </c>
      <c r="C44" s="15">
        <f t="shared" si="0"/>
        <v>10364658.959999997</v>
      </c>
      <c r="D44" s="15">
        <v>1043567.48</v>
      </c>
      <c r="E44" s="16">
        <v>959</v>
      </c>
      <c r="F44" s="15">
        <v>155.45471175331446</v>
      </c>
    </row>
    <row r="45" spans="1:6" ht="12.75">
      <c r="A45" s="22">
        <v>39767</v>
      </c>
      <c r="B45" s="15">
        <v>10239088.219999999</v>
      </c>
      <c r="C45" s="15">
        <f t="shared" si="0"/>
        <v>9311528.459999999</v>
      </c>
      <c r="D45" s="15">
        <v>927559.76</v>
      </c>
      <c r="E45" s="16">
        <v>959</v>
      </c>
      <c r="F45" s="15">
        <v>138.17365708327128</v>
      </c>
    </row>
    <row r="46" spans="1:6" ht="12.75">
      <c r="A46" s="22">
        <v>39774</v>
      </c>
      <c r="B46" s="15">
        <v>9469830.36</v>
      </c>
      <c r="C46" s="15">
        <f t="shared" si="0"/>
        <v>8640395.09</v>
      </c>
      <c r="D46" s="15">
        <v>829435.27</v>
      </c>
      <c r="E46" s="16">
        <v>959</v>
      </c>
      <c r="F46" s="15">
        <v>123.5565723223596</v>
      </c>
    </row>
    <row r="47" spans="1:6" ht="12.75">
      <c r="A47" s="22">
        <v>39781</v>
      </c>
      <c r="B47" s="15">
        <v>10161641.06</v>
      </c>
      <c r="C47" s="15">
        <f t="shared" si="0"/>
        <v>9272030.96</v>
      </c>
      <c r="D47" s="15">
        <v>889610.1</v>
      </c>
      <c r="E47" s="16">
        <v>959</v>
      </c>
      <c r="F47" s="15">
        <v>132.52049754208255</v>
      </c>
    </row>
    <row r="48" spans="1:6" ht="12.75">
      <c r="A48" s="22">
        <v>39788</v>
      </c>
      <c r="B48" s="15">
        <v>9377482.780000001</v>
      </c>
      <c r="C48" s="15">
        <f t="shared" si="0"/>
        <v>8556975.330000002</v>
      </c>
      <c r="D48" s="15">
        <v>820507.45</v>
      </c>
      <c r="E48" s="16">
        <v>959</v>
      </c>
      <c r="F48" s="15">
        <v>122.22664233576641</v>
      </c>
    </row>
    <row r="49" spans="1:6" ht="12.75">
      <c r="A49" s="22">
        <v>39795</v>
      </c>
      <c r="B49" s="15">
        <v>9665079.16</v>
      </c>
      <c r="C49" s="15">
        <f t="shared" si="0"/>
        <v>8791060.55</v>
      </c>
      <c r="D49" s="15">
        <v>874018.61</v>
      </c>
      <c r="E49" s="16">
        <v>959</v>
      </c>
      <c r="F49" s="15">
        <v>130.19791598391183</v>
      </c>
    </row>
    <row r="50" spans="1:6" ht="12.75">
      <c r="A50" s="22">
        <v>39802</v>
      </c>
      <c r="B50" s="15">
        <v>8791438.36</v>
      </c>
      <c r="C50" s="15">
        <f t="shared" si="0"/>
        <v>8049127.52</v>
      </c>
      <c r="D50" s="15">
        <v>742310.84</v>
      </c>
      <c r="E50" s="16">
        <v>959</v>
      </c>
      <c r="F50" s="15">
        <v>110.57810814836883</v>
      </c>
    </row>
    <row r="51" spans="1:6" ht="12.75">
      <c r="A51" s="22">
        <v>39809</v>
      </c>
      <c r="B51" s="15">
        <v>9292717.200000001</v>
      </c>
      <c r="C51" s="15">
        <f t="shared" si="0"/>
        <v>8483286.15</v>
      </c>
      <c r="D51" s="15">
        <v>809431.05</v>
      </c>
      <c r="E51" s="16">
        <v>959</v>
      </c>
      <c r="F51" s="15">
        <v>120.5766497840012</v>
      </c>
    </row>
    <row r="52" spans="1:6" ht="12.75">
      <c r="A52" s="22">
        <v>39816</v>
      </c>
      <c r="B52" s="15">
        <v>13096176.620000001</v>
      </c>
      <c r="C52" s="15">
        <f t="shared" si="0"/>
        <v>11915121.340000002</v>
      </c>
      <c r="D52" s="15">
        <v>1181055.28</v>
      </c>
      <c r="E52" s="16">
        <v>959</v>
      </c>
      <c r="F52" s="15">
        <v>175.93553999702075</v>
      </c>
    </row>
    <row r="53" spans="1:6" ht="12.75">
      <c r="A53" s="22">
        <v>39823</v>
      </c>
      <c r="B53" s="15">
        <v>10519843.48</v>
      </c>
      <c r="C53" s="15">
        <f t="shared" si="0"/>
        <v>9574776.290000001</v>
      </c>
      <c r="D53" s="15">
        <v>945067.19</v>
      </c>
      <c r="E53" s="16">
        <v>959</v>
      </c>
      <c r="F53" s="15">
        <v>140.7816460598838</v>
      </c>
    </row>
    <row r="54" spans="1:6" ht="12.75">
      <c r="A54" s="22">
        <v>39830</v>
      </c>
      <c r="B54" s="15">
        <v>9453021.36</v>
      </c>
      <c r="C54" s="15">
        <f t="shared" si="0"/>
        <v>8612961.35</v>
      </c>
      <c r="D54" s="15">
        <v>840060.01</v>
      </c>
      <c r="E54" s="16">
        <v>959</v>
      </c>
      <c r="F54" s="15">
        <v>125.13928347981529</v>
      </c>
    </row>
    <row r="55" spans="1:6" ht="12.75">
      <c r="A55" s="22">
        <v>39837</v>
      </c>
      <c r="B55" s="15">
        <v>11817426.240000002</v>
      </c>
      <c r="C55" s="15">
        <f t="shared" si="0"/>
        <v>10756802.130000003</v>
      </c>
      <c r="D55" s="15">
        <v>1060624.11</v>
      </c>
      <c r="E55" s="16">
        <v>959</v>
      </c>
      <c r="F55" s="15">
        <v>157.99554744525548</v>
      </c>
    </row>
    <row r="56" spans="1:6" ht="12.75">
      <c r="A56" s="22">
        <v>39844</v>
      </c>
      <c r="B56" s="15">
        <v>10237242.24</v>
      </c>
      <c r="C56" s="15">
        <f t="shared" si="0"/>
        <v>9342018.56</v>
      </c>
      <c r="D56" s="15">
        <v>895223.68</v>
      </c>
      <c r="E56" s="16">
        <v>959</v>
      </c>
      <c r="F56" s="15">
        <v>133.35672277670193</v>
      </c>
    </row>
    <row r="57" spans="1:6" ht="12.75">
      <c r="A57" s="22">
        <v>39851</v>
      </c>
      <c r="B57" s="15">
        <v>12937616.23</v>
      </c>
      <c r="C57" s="15">
        <f t="shared" si="0"/>
        <v>11841672.47</v>
      </c>
      <c r="D57" s="15">
        <v>1095943.76</v>
      </c>
      <c r="E57" s="16">
        <v>959</v>
      </c>
      <c r="F57" s="15">
        <v>163.25692834798153</v>
      </c>
    </row>
    <row r="58" spans="1:6" ht="12.75">
      <c r="A58" s="22">
        <v>39858</v>
      </c>
      <c r="B58" s="15">
        <v>12778416.98</v>
      </c>
      <c r="C58" s="15">
        <f t="shared" si="0"/>
        <v>11709677.93</v>
      </c>
      <c r="D58" s="15">
        <v>1068739.05</v>
      </c>
      <c r="E58" s="16">
        <v>959</v>
      </c>
      <c r="F58" s="15">
        <v>159.20438701027857</v>
      </c>
    </row>
    <row r="59" spans="1:6" ht="12.75">
      <c r="A59" s="22">
        <v>39865</v>
      </c>
      <c r="B59" s="15">
        <v>12763665.040000001</v>
      </c>
      <c r="C59" s="15">
        <f t="shared" si="0"/>
        <v>11710378.14</v>
      </c>
      <c r="D59" s="15">
        <v>1053286.9</v>
      </c>
      <c r="E59" s="16">
        <v>959</v>
      </c>
      <c r="F59" s="15">
        <v>156.9025621927603</v>
      </c>
    </row>
    <row r="60" spans="1:6" ht="12.75">
      <c r="A60" s="22">
        <v>39872</v>
      </c>
      <c r="B60" s="15">
        <v>13034386.23</v>
      </c>
      <c r="C60" s="15">
        <f t="shared" si="0"/>
        <v>11892773.16</v>
      </c>
      <c r="D60" s="15">
        <v>1141613.07</v>
      </c>
      <c r="E60" s="16">
        <v>959</v>
      </c>
      <c r="F60" s="15">
        <v>170.06004319976168</v>
      </c>
    </row>
    <row r="61" spans="1:6" ht="12.75">
      <c r="A61" s="22">
        <v>39879</v>
      </c>
      <c r="B61" s="15">
        <v>12758850.879999999</v>
      </c>
      <c r="C61" s="15">
        <f t="shared" si="0"/>
        <v>11593557.68</v>
      </c>
      <c r="D61" s="15">
        <v>1165293.2</v>
      </c>
      <c r="E61" s="16">
        <v>959</v>
      </c>
      <c r="F61" s="15">
        <v>173.58754655146734</v>
      </c>
    </row>
    <row r="62" spans="1:6" ht="12.75">
      <c r="A62" s="22">
        <v>39886</v>
      </c>
      <c r="B62" s="15">
        <v>12930847.239999998</v>
      </c>
      <c r="C62" s="15">
        <f t="shared" si="0"/>
        <v>11750092.159999998</v>
      </c>
      <c r="D62" s="15">
        <v>1180755.08</v>
      </c>
      <c r="E62" s="16">
        <v>959</v>
      </c>
      <c r="F62" s="15">
        <v>175.89082079547148</v>
      </c>
    </row>
    <row r="63" spans="1:6" ht="12.75">
      <c r="A63" s="22">
        <v>39893</v>
      </c>
      <c r="B63" s="15">
        <v>12666598.030000001</v>
      </c>
      <c r="C63" s="15">
        <f t="shared" si="0"/>
        <v>11584548.600000001</v>
      </c>
      <c r="D63" s="15">
        <v>1082049.43</v>
      </c>
      <c r="E63" s="16">
        <v>959</v>
      </c>
      <c r="F63" s="15">
        <v>161.18716371220023</v>
      </c>
    </row>
    <row r="64" spans="1:6" ht="12.75">
      <c r="A64" s="22">
        <v>39900</v>
      </c>
      <c r="B64" s="15">
        <v>12244468.05</v>
      </c>
      <c r="C64" s="15">
        <f t="shared" si="0"/>
        <v>11163382.09</v>
      </c>
      <c r="D64" s="15">
        <v>1081085.96</v>
      </c>
      <c r="E64" s="16">
        <v>959</v>
      </c>
      <c r="F64" s="15">
        <v>161.04364069715476</v>
      </c>
    </row>
    <row r="65" ht="12.75">
      <c r="A65" s="22"/>
    </row>
    <row r="66" spans="1:6" ht="13.5" thickBot="1">
      <c r="A66" s="3" t="s">
        <v>8</v>
      </c>
      <c r="B66" s="17">
        <f>SUM(B13:B64)</f>
        <v>586521529.8200002</v>
      </c>
      <c r="C66" s="17">
        <f>SUM(C13:C64)</f>
        <v>535049663.8999999</v>
      </c>
      <c r="D66" s="17">
        <f>SUM(D13:D64)</f>
        <v>51471865.92</v>
      </c>
      <c r="E66" s="24">
        <f>SUM(E13:E65)/COUNT(E13:E65)</f>
        <v>959</v>
      </c>
      <c r="F66" s="17">
        <f>+D66/SUM(E13:E65)/7</f>
        <v>147.4517466683473</v>
      </c>
    </row>
    <row r="67" spans="2:4" ht="10.5" customHeight="1" thickTop="1">
      <c r="B67" s="18"/>
      <c r="C67" s="18"/>
      <c r="D67" s="18"/>
    </row>
    <row r="68" spans="1:4" s="21" customFormat="1" ht="12.75">
      <c r="A68" s="19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pane ySplit="11" topLeftCell="A60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10" s="26" customFormat="1" ht="18">
      <c r="A1" s="42" t="s">
        <v>18</v>
      </c>
      <c r="B1" s="42"/>
      <c r="C1" s="42"/>
      <c r="D1" s="42"/>
      <c r="E1" s="42"/>
      <c r="F1" s="42"/>
      <c r="G1" s="28"/>
      <c r="H1" s="28"/>
      <c r="I1" s="28"/>
      <c r="J1" s="28"/>
    </row>
    <row r="2" spans="1:10" s="26" customFormat="1" ht="15">
      <c r="A2" s="43" t="s">
        <v>19</v>
      </c>
      <c r="B2" s="43"/>
      <c r="C2" s="43"/>
      <c r="D2" s="43"/>
      <c r="E2" s="43"/>
      <c r="F2" s="43"/>
      <c r="G2" s="29"/>
      <c r="H2" s="29"/>
      <c r="I2" s="29"/>
      <c r="J2" s="29"/>
    </row>
    <row r="3" spans="1:10" s="27" customFormat="1" ht="15">
      <c r="A3" s="43" t="s">
        <v>20</v>
      </c>
      <c r="B3" s="43"/>
      <c r="C3" s="43"/>
      <c r="D3" s="43"/>
      <c r="E3" s="43"/>
      <c r="F3" s="43"/>
      <c r="G3" s="29"/>
      <c r="H3" s="29"/>
      <c r="I3" s="29"/>
      <c r="J3" s="29"/>
    </row>
    <row r="4" spans="1:10" s="27" customFormat="1" ht="14.25">
      <c r="A4" s="44" t="s">
        <v>21</v>
      </c>
      <c r="B4" s="44"/>
      <c r="C4" s="44"/>
      <c r="D4" s="44"/>
      <c r="E4" s="44"/>
      <c r="F4" s="44"/>
      <c r="G4" s="32"/>
      <c r="H4" s="30"/>
      <c r="I4" s="30"/>
      <c r="J4" s="30"/>
    </row>
    <row r="5" spans="1:10" s="27" customFormat="1" ht="14.25">
      <c r="A5" s="45" t="s">
        <v>22</v>
      </c>
      <c r="B5" s="45"/>
      <c r="C5" s="45"/>
      <c r="D5" s="45"/>
      <c r="E5" s="45"/>
      <c r="F5" s="45"/>
      <c r="G5" s="31"/>
      <c r="H5" s="31"/>
      <c r="I5" s="31"/>
      <c r="J5" s="31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46" t="s">
        <v>15</v>
      </c>
      <c r="B8" s="47"/>
      <c r="C8" s="47"/>
      <c r="D8" s="47"/>
      <c r="E8" s="47"/>
      <c r="F8" s="48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39179</v>
      </c>
      <c r="B13" s="15">
        <v>10196043.08</v>
      </c>
      <c r="C13" s="15">
        <f>+B13-D13</f>
        <v>9269569.39</v>
      </c>
      <c r="D13" s="15">
        <v>926473.69</v>
      </c>
      <c r="E13" s="16">
        <v>959</v>
      </c>
      <c r="F13" s="15">
        <v>138.01187099657383</v>
      </c>
    </row>
    <row r="14" spans="1:6" ht="12.75">
      <c r="A14" s="22">
        <v>39186</v>
      </c>
      <c r="B14" s="15">
        <v>11425856.910000002</v>
      </c>
      <c r="C14" s="15">
        <f aca="true" t="shared" si="0" ref="C14:C64">+B14-D14</f>
        <v>10468260.530000001</v>
      </c>
      <c r="D14" s="15">
        <v>957596.38</v>
      </c>
      <c r="E14" s="16">
        <v>959</v>
      </c>
      <c r="F14" s="15">
        <v>142.64805303143154</v>
      </c>
    </row>
    <row r="15" spans="1:6" ht="12.75">
      <c r="A15" s="22">
        <v>39193</v>
      </c>
      <c r="B15" s="15">
        <v>10635560.09</v>
      </c>
      <c r="C15" s="15">
        <f t="shared" si="0"/>
        <v>9779074.54</v>
      </c>
      <c r="D15" s="15">
        <v>856485.55</v>
      </c>
      <c r="E15" s="16">
        <v>959</v>
      </c>
      <c r="F15" s="15">
        <v>127.58610904215702</v>
      </c>
    </row>
    <row r="16" spans="1:6" ht="12.75">
      <c r="A16" s="22">
        <v>39200</v>
      </c>
      <c r="B16" s="15">
        <v>10719012.37</v>
      </c>
      <c r="C16" s="15">
        <f t="shared" si="0"/>
        <v>9818120.559999999</v>
      </c>
      <c r="D16" s="15">
        <v>900891.81</v>
      </c>
      <c r="E16" s="16">
        <v>959</v>
      </c>
      <c r="F16" s="15">
        <v>134.2010740354536</v>
      </c>
    </row>
    <row r="17" spans="1:6" ht="12.75">
      <c r="A17" s="22">
        <v>39207</v>
      </c>
      <c r="B17" s="15">
        <v>10629810.13</v>
      </c>
      <c r="C17" s="15">
        <f t="shared" si="0"/>
        <v>9701442.22</v>
      </c>
      <c r="D17" s="15">
        <v>928367.91</v>
      </c>
      <c r="E17" s="16">
        <v>963.2857142857143</v>
      </c>
      <c r="F17" s="15">
        <v>137.67876464481685</v>
      </c>
    </row>
    <row r="18" spans="1:6" ht="12.75">
      <c r="A18" s="22">
        <v>39214</v>
      </c>
      <c r="B18" s="15">
        <v>10221229.38</v>
      </c>
      <c r="C18" s="15">
        <f t="shared" si="0"/>
        <v>9372659.260000002</v>
      </c>
      <c r="D18" s="15">
        <v>848570.12</v>
      </c>
      <c r="E18" s="16">
        <v>965</v>
      </c>
      <c r="F18" s="15">
        <v>125.62103923019987</v>
      </c>
    </row>
    <row r="19" spans="1:6" ht="12.75">
      <c r="A19" s="22">
        <v>39221</v>
      </c>
      <c r="B19" s="15">
        <v>11424844.57</v>
      </c>
      <c r="C19" s="15">
        <f t="shared" si="0"/>
        <v>10440942.08</v>
      </c>
      <c r="D19" s="15">
        <v>983902.49</v>
      </c>
      <c r="E19" s="16">
        <v>965</v>
      </c>
      <c r="F19" s="15">
        <v>145.65543893412288</v>
      </c>
    </row>
    <row r="20" spans="1:6" ht="12.75">
      <c r="A20" s="22">
        <v>39228</v>
      </c>
      <c r="B20" s="15">
        <v>10063094.15</v>
      </c>
      <c r="C20" s="15">
        <f t="shared" si="0"/>
        <v>9165175.34</v>
      </c>
      <c r="D20" s="15">
        <v>897918.81</v>
      </c>
      <c r="E20" s="16">
        <v>965</v>
      </c>
      <c r="F20" s="15">
        <v>132.92654478164323</v>
      </c>
    </row>
    <row r="21" spans="1:6" ht="12.75">
      <c r="A21" s="22">
        <v>39235</v>
      </c>
      <c r="B21" s="15">
        <v>11020040.34</v>
      </c>
      <c r="C21" s="15">
        <f t="shared" si="0"/>
        <v>10048372.64</v>
      </c>
      <c r="D21" s="15">
        <v>971667.7</v>
      </c>
      <c r="E21" s="16">
        <v>965</v>
      </c>
      <c r="F21" s="15">
        <v>143.8442190969652</v>
      </c>
    </row>
    <row r="22" spans="1:6" ht="12.75">
      <c r="A22" s="22">
        <v>39242</v>
      </c>
      <c r="B22" s="15">
        <v>11558657.74</v>
      </c>
      <c r="C22" s="15">
        <f t="shared" si="0"/>
        <v>10539005.56</v>
      </c>
      <c r="D22" s="15">
        <v>1019652.18</v>
      </c>
      <c r="E22" s="16">
        <v>965</v>
      </c>
      <c r="F22" s="15">
        <v>150.9477690599556</v>
      </c>
    </row>
    <row r="23" spans="1:6" ht="12.75">
      <c r="A23" s="22">
        <v>39249</v>
      </c>
      <c r="B23" s="15">
        <v>10468813.049999999</v>
      </c>
      <c r="C23" s="15">
        <f t="shared" si="0"/>
        <v>9607132.129999999</v>
      </c>
      <c r="D23" s="15">
        <v>861680.92</v>
      </c>
      <c r="E23" s="16">
        <v>965</v>
      </c>
      <c r="F23" s="15">
        <v>127.56194226498889</v>
      </c>
    </row>
    <row r="24" spans="1:6" ht="12.75">
      <c r="A24" s="22">
        <v>39256</v>
      </c>
      <c r="B24" s="15">
        <v>10584662.45</v>
      </c>
      <c r="C24" s="15">
        <f t="shared" si="0"/>
        <v>9638327.129999999</v>
      </c>
      <c r="D24" s="15">
        <v>946335.32</v>
      </c>
      <c r="E24" s="16">
        <v>965</v>
      </c>
      <c r="F24" s="15">
        <v>140.0940518134715</v>
      </c>
    </row>
    <row r="25" spans="1:6" ht="12.75">
      <c r="A25" s="22">
        <v>39263</v>
      </c>
      <c r="B25" s="15">
        <v>10658786.26</v>
      </c>
      <c r="C25" s="15">
        <f t="shared" si="0"/>
        <v>9668542.66</v>
      </c>
      <c r="D25" s="15">
        <v>990243.6</v>
      </c>
      <c r="E25" s="16">
        <v>965</v>
      </c>
      <c r="F25" s="15">
        <v>146.5941672834937</v>
      </c>
    </row>
    <row r="26" spans="1:6" ht="12.75">
      <c r="A26" s="22">
        <v>39270</v>
      </c>
      <c r="B26" s="15">
        <v>12260819.229999999</v>
      </c>
      <c r="C26" s="15">
        <f t="shared" si="0"/>
        <v>11158340.999999998</v>
      </c>
      <c r="D26" s="15">
        <v>1102478.23</v>
      </c>
      <c r="E26" s="16">
        <v>965</v>
      </c>
      <c r="F26" s="15">
        <v>163.20921243523316</v>
      </c>
    </row>
    <row r="27" spans="1:6" ht="12.75">
      <c r="A27" s="22">
        <v>39277</v>
      </c>
      <c r="B27" s="15">
        <v>10206580.530000001</v>
      </c>
      <c r="C27" s="15">
        <f t="shared" si="0"/>
        <v>9291239.46</v>
      </c>
      <c r="D27" s="15">
        <v>915341.07</v>
      </c>
      <c r="E27" s="16">
        <v>965</v>
      </c>
      <c r="F27" s="15">
        <v>135.5057098445596</v>
      </c>
    </row>
    <row r="28" spans="1:6" ht="12.75">
      <c r="A28" s="22">
        <v>39284</v>
      </c>
      <c r="B28" s="15">
        <v>9938183.959999999</v>
      </c>
      <c r="C28" s="15">
        <f t="shared" si="0"/>
        <v>9050287.2</v>
      </c>
      <c r="D28" s="15">
        <v>887896.76</v>
      </c>
      <c r="E28" s="16">
        <v>965</v>
      </c>
      <c r="F28" s="15">
        <v>131.44289563286455</v>
      </c>
    </row>
    <row r="29" spans="1:6" ht="12.75">
      <c r="A29" s="22">
        <v>39291</v>
      </c>
      <c r="B29" s="15">
        <v>10017799.62</v>
      </c>
      <c r="C29" s="15">
        <f t="shared" si="0"/>
        <v>9169350.459999999</v>
      </c>
      <c r="D29" s="15">
        <v>848449.16</v>
      </c>
      <c r="E29" s="16">
        <v>965</v>
      </c>
      <c r="F29" s="15">
        <v>125.60313249444857</v>
      </c>
    </row>
    <row r="30" spans="1:6" ht="12.75">
      <c r="A30" s="22">
        <v>39298</v>
      </c>
      <c r="B30" s="15">
        <v>10105649.33</v>
      </c>
      <c r="C30" s="15">
        <f t="shared" si="0"/>
        <v>9200853.22</v>
      </c>
      <c r="D30" s="15">
        <v>904796.11</v>
      </c>
      <c r="E30" s="16">
        <v>965</v>
      </c>
      <c r="F30" s="15">
        <v>133.9446498889711</v>
      </c>
    </row>
    <row r="31" spans="1:6" ht="12.75">
      <c r="A31" s="22">
        <v>39305</v>
      </c>
      <c r="B31" s="15">
        <v>7607302.090000001</v>
      </c>
      <c r="C31" s="15">
        <f t="shared" si="0"/>
        <v>6953203.140000001</v>
      </c>
      <c r="D31" s="15">
        <v>654098.95</v>
      </c>
      <c r="E31" s="16">
        <v>961.5714285714286</v>
      </c>
      <c r="F31" s="15">
        <v>97.17708364284654</v>
      </c>
    </row>
    <row r="32" spans="1:6" ht="12.75">
      <c r="A32" s="22">
        <v>39312</v>
      </c>
      <c r="B32" s="15">
        <v>7657423.590000001</v>
      </c>
      <c r="C32" s="15">
        <f t="shared" si="0"/>
        <v>6980394.910000001</v>
      </c>
      <c r="D32" s="15">
        <v>677028.68</v>
      </c>
      <c r="E32" s="16">
        <v>959</v>
      </c>
      <c r="F32" s="15">
        <v>100.85337107105617</v>
      </c>
    </row>
    <row r="33" spans="1:6" ht="12.75">
      <c r="A33" s="22">
        <v>39319</v>
      </c>
      <c r="B33" s="15">
        <v>9192782.49</v>
      </c>
      <c r="C33" s="15">
        <f t="shared" si="0"/>
        <v>8428186.48</v>
      </c>
      <c r="D33" s="15">
        <v>764596.01</v>
      </c>
      <c r="E33" s="16">
        <v>959</v>
      </c>
      <c r="F33" s="15">
        <v>113.89781170862506</v>
      </c>
    </row>
    <row r="34" spans="1:6" ht="12.75">
      <c r="A34" s="22">
        <v>39326</v>
      </c>
      <c r="B34" s="15">
        <v>9470056.81</v>
      </c>
      <c r="C34" s="15">
        <f t="shared" si="0"/>
        <v>8573979.71</v>
      </c>
      <c r="D34" s="15">
        <v>896077.1</v>
      </c>
      <c r="E34" s="16">
        <v>959</v>
      </c>
      <c r="F34" s="15">
        <v>133.48385222702217</v>
      </c>
    </row>
    <row r="35" spans="1:6" ht="12.75">
      <c r="A35" s="22">
        <v>39333</v>
      </c>
      <c r="B35" s="15">
        <v>10617306.690000001</v>
      </c>
      <c r="C35" s="15">
        <f t="shared" si="0"/>
        <v>9684477.23</v>
      </c>
      <c r="D35" s="15">
        <v>932829.46</v>
      </c>
      <c r="E35" s="16">
        <v>959</v>
      </c>
      <c r="F35" s="15">
        <v>138.95865633844778</v>
      </c>
    </row>
    <row r="36" spans="1:6" ht="12.75">
      <c r="A36" s="22">
        <v>39340</v>
      </c>
      <c r="B36" s="15">
        <v>9254956.719999999</v>
      </c>
      <c r="C36" s="15">
        <f t="shared" si="0"/>
        <v>8453454.77</v>
      </c>
      <c r="D36" s="15">
        <v>801501.95</v>
      </c>
      <c r="E36" s="16">
        <v>959</v>
      </c>
      <c r="F36" s="15">
        <v>119.39549381796513</v>
      </c>
    </row>
    <row r="37" spans="1:6" ht="12.75">
      <c r="A37" s="22">
        <v>39347</v>
      </c>
      <c r="B37" s="15">
        <v>9472023.579999998</v>
      </c>
      <c r="C37" s="15">
        <f t="shared" si="0"/>
        <v>8647634.129999999</v>
      </c>
      <c r="D37" s="15">
        <v>824389.45</v>
      </c>
      <c r="E37" s="16">
        <v>959</v>
      </c>
      <c r="F37" s="15">
        <v>122.80492328318188</v>
      </c>
    </row>
    <row r="38" spans="1:6" ht="12.75">
      <c r="A38" s="22">
        <v>39354</v>
      </c>
      <c r="B38" s="15">
        <v>9450211.02</v>
      </c>
      <c r="C38" s="15">
        <f t="shared" si="0"/>
        <v>8586034</v>
      </c>
      <c r="D38" s="15">
        <v>864177.02</v>
      </c>
      <c r="E38" s="16">
        <v>959</v>
      </c>
      <c r="F38" s="15">
        <v>128.73186652763295</v>
      </c>
    </row>
    <row r="39" spans="1:6" ht="12.75">
      <c r="A39" s="22">
        <v>39361</v>
      </c>
      <c r="B39" s="15">
        <v>9705262.15</v>
      </c>
      <c r="C39" s="15">
        <f t="shared" si="0"/>
        <v>8840847.86</v>
      </c>
      <c r="D39" s="15">
        <v>864414.29</v>
      </c>
      <c r="E39" s="16">
        <v>959</v>
      </c>
      <c r="F39" s="15">
        <v>128.76721138090272</v>
      </c>
    </row>
    <row r="40" spans="1:6" ht="12.75">
      <c r="A40" s="22">
        <v>39368</v>
      </c>
      <c r="B40" s="15">
        <v>9479456.89</v>
      </c>
      <c r="C40" s="15">
        <f t="shared" si="0"/>
        <v>8627917.31</v>
      </c>
      <c r="D40" s="15">
        <v>851539.58</v>
      </c>
      <c r="E40" s="16">
        <v>959</v>
      </c>
      <c r="F40" s="15">
        <v>126.8493341278117</v>
      </c>
    </row>
    <row r="41" spans="1:6" ht="12.75">
      <c r="A41" s="22">
        <v>39375</v>
      </c>
      <c r="B41" s="15">
        <v>11130341.46</v>
      </c>
      <c r="C41" s="15">
        <f t="shared" si="0"/>
        <v>10103709.56</v>
      </c>
      <c r="D41" s="15">
        <v>1026631.9</v>
      </c>
      <c r="E41" s="16">
        <v>959</v>
      </c>
      <c r="F41" s="15">
        <v>152.93190823774762</v>
      </c>
    </row>
    <row r="42" spans="1:6" ht="12.75">
      <c r="A42" s="22">
        <v>39382</v>
      </c>
      <c r="B42" s="15">
        <v>9069951.74</v>
      </c>
      <c r="C42" s="15">
        <f t="shared" si="0"/>
        <v>8292905.82</v>
      </c>
      <c r="D42" s="15">
        <v>777045.92</v>
      </c>
      <c r="E42" s="16">
        <v>959</v>
      </c>
      <c r="F42" s="15">
        <v>115.75240875912408</v>
      </c>
    </row>
    <row r="43" spans="1:6" ht="12.75">
      <c r="A43" s="22">
        <v>39389</v>
      </c>
      <c r="B43" s="15">
        <v>10003063.53</v>
      </c>
      <c r="C43" s="15">
        <f t="shared" si="0"/>
        <v>9132703.459999999</v>
      </c>
      <c r="D43" s="15">
        <v>870360.07</v>
      </c>
      <c r="E43" s="16">
        <v>959</v>
      </c>
      <c r="F43" s="15">
        <v>129.65292268732307</v>
      </c>
    </row>
    <row r="44" spans="1:6" ht="12.75">
      <c r="A44" s="22">
        <v>39396</v>
      </c>
      <c r="B44" s="15">
        <v>9027413.91</v>
      </c>
      <c r="C44" s="15">
        <f t="shared" si="0"/>
        <v>8237501.92</v>
      </c>
      <c r="D44" s="15">
        <v>789911.99</v>
      </c>
      <c r="E44" s="16">
        <v>959</v>
      </c>
      <c r="F44" s="15">
        <v>117.66899895724711</v>
      </c>
    </row>
    <row r="45" spans="1:6" ht="12.75">
      <c r="A45" s="22">
        <v>39403</v>
      </c>
      <c r="B45" s="15">
        <v>9920223.799999997</v>
      </c>
      <c r="C45" s="15">
        <f t="shared" si="0"/>
        <v>9077405.279999997</v>
      </c>
      <c r="D45" s="15">
        <v>842818.52</v>
      </c>
      <c r="E45" s="16">
        <v>959</v>
      </c>
      <c r="F45" s="15">
        <v>125.55020408163266</v>
      </c>
    </row>
    <row r="46" spans="1:6" ht="12.75">
      <c r="A46" s="22">
        <v>39410</v>
      </c>
      <c r="B46" s="15">
        <v>8843198.64</v>
      </c>
      <c r="C46" s="15">
        <f t="shared" si="0"/>
        <v>8071193.970000001</v>
      </c>
      <c r="D46" s="15">
        <v>772004.67</v>
      </c>
      <c r="E46" s="16">
        <v>959</v>
      </c>
      <c r="F46" s="15">
        <v>115.00144048860419</v>
      </c>
    </row>
    <row r="47" spans="1:6" ht="12.75">
      <c r="A47" s="22">
        <v>39417</v>
      </c>
      <c r="B47" s="15">
        <v>8173989.470000001</v>
      </c>
      <c r="C47" s="15">
        <f t="shared" si="0"/>
        <v>7441273.890000001</v>
      </c>
      <c r="D47" s="15">
        <v>732715.58</v>
      </c>
      <c r="E47" s="16">
        <v>959</v>
      </c>
      <c r="F47" s="15">
        <v>109.14875316549978</v>
      </c>
    </row>
    <row r="48" spans="1:6" ht="12.75">
      <c r="A48" s="22">
        <v>39424</v>
      </c>
      <c r="B48" s="15">
        <v>8284154.91</v>
      </c>
      <c r="C48" s="15">
        <f t="shared" si="0"/>
        <v>7533435.0200000005</v>
      </c>
      <c r="D48" s="15">
        <v>750719.89</v>
      </c>
      <c r="E48" s="16">
        <v>959</v>
      </c>
      <c r="F48" s="15">
        <v>111.83075971994637</v>
      </c>
    </row>
    <row r="49" spans="1:6" ht="12.75">
      <c r="A49" s="22">
        <v>39431</v>
      </c>
      <c r="B49" s="15">
        <v>8098773.870000001</v>
      </c>
      <c r="C49" s="15">
        <f t="shared" si="0"/>
        <v>7406993.000000001</v>
      </c>
      <c r="D49" s="15">
        <v>691780.87</v>
      </c>
      <c r="E49" s="16">
        <v>959</v>
      </c>
      <c r="F49" s="15">
        <v>103.05092656040519</v>
      </c>
    </row>
    <row r="50" spans="1:6" ht="12.75">
      <c r="A50" s="22">
        <v>39438</v>
      </c>
      <c r="B50" s="15">
        <v>8920626.76</v>
      </c>
      <c r="C50" s="15">
        <f t="shared" si="0"/>
        <v>8137133.109999999</v>
      </c>
      <c r="D50" s="15">
        <v>783493.65</v>
      </c>
      <c r="E50" s="16">
        <v>959</v>
      </c>
      <c r="F50" s="15">
        <v>116.71289289438405</v>
      </c>
    </row>
    <row r="51" spans="1:6" ht="12.75">
      <c r="A51" s="22">
        <v>39445</v>
      </c>
      <c r="B51" s="15">
        <v>9636902.6</v>
      </c>
      <c r="C51" s="15">
        <f t="shared" si="0"/>
        <v>8772949.25</v>
      </c>
      <c r="D51" s="15">
        <v>863953.35</v>
      </c>
      <c r="E51" s="16">
        <v>959</v>
      </c>
      <c r="F51" s="15">
        <v>128.69854759422017</v>
      </c>
    </row>
    <row r="52" spans="1:6" ht="12.75">
      <c r="A52" s="22">
        <v>39452</v>
      </c>
      <c r="B52" s="15">
        <v>11278788.899999999</v>
      </c>
      <c r="C52" s="15">
        <f t="shared" si="0"/>
        <v>10275811.799999999</v>
      </c>
      <c r="D52" s="15">
        <v>1002977.1</v>
      </c>
      <c r="E52" s="16">
        <v>959</v>
      </c>
      <c r="F52" s="15">
        <v>149.40817816177565</v>
      </c>
    </row>
    <row r="53" spans="1:6" ht="12.75">
      <c r="A53" s="22">
        <v>39459</v>
      </c>
      <c r="B53" s="15">
        <v>10080380.469999999</v>
      </c>
      <c r="C53" s="15">
        <f t="shared" si="0"/>
        <v>9177828.259999998</v>
      </c>
      <c r="D53" s="15">
        <v>902552.21</v>
      </c>
      <c r="E53" s="16">
        <v>959</v>
      </c>
      <c r="F53" s="15">
        <v>134.44841501564127</v>
      </c>
    </row>
    <row r="54" spans="1:6" ht="12.75">
      <c r="A54" s="22">
        <v>39466</v>
      </c>
      <c r="B54" s="15">
        <v>8741529.829999998</v>
      </c>
      <c r="C54" s="15">
        <f t="shared" si="0"/>
        <v>7983801.919999998</v>
      </c>
      <c r="D54" s="15">
        <v>757727.91</v>
      </c>
      <c r="E54" s="16">
        <v>959</v>
      </c>
      <c r="F54" s="15">
        <v>112.87470728437361</v>
      </c>
    </row>
    <row r="55" spans="1:6" ht="12.75">
      <c r="A55" s="22">
        <v>39473</v>
      </c>
      <c r="B55" s="15">
        <v>8746826.85</v>
      </c>
      <c r="C55" s="15">
        <f t="shared" si="0"/>
        <v>7975202.149999999</v>
      </c>
      <c r="D55" s="15">
        <v>771624.7</v>
      </c>
      <c r="E55" s="16">
        <v>959</v>
      </c>
      <c r="F55" s="15">
        <v>114.94483837330552</v>
      </c>
    </row>
    <row r="56" spans="1:6" ht="12.75">
      <c r="A56" s="22">
        <v>39480</v>
      </c>
      <c r="B56" s="15">
        <v>9586873.82</v>
      </c>
      <c r="C56" s="15">
        <f t="shared" si="0"/>
        <v>8724162.72</v>
      </c>
      <c r="D56" s="15">
        <v>862711.1</v>
      </c>
      <c r="E56" s="16">
        <v>959</v>
      </c>
      <c r="F56" s="15">
        <v>128.51349620140027</v>
      </c>
    </row>
    <row r="57" spans="1:6" ht="12.75">
      <c r="A57" s="22">
        <v>39487</v>
      </c>
      <c r="B57" s="15">
        <v>10583292.17</v>
      </c>
      <c r="C57" s="15">
        <f t="shared" si="0"/>
        <v>9631669.33</v>
      </c>
      <c r="D57" s="15">
        <v>951622.84</v>
      </c>
      <c r="E57" s="16">
        <v>959</v>
      </c>
      <c r="F57" s="15">
        <v>141.7582064650678</v>
      </c>
    </row>
    <row r="58" spans="1:6" ht="12.75">
      <c r="A58" s="22">
        <v>39494</v>
      </c>
      <c r="B58" s="15">
        <v>9941857.16</v>
      </c>
      <c r="C58" s="15">
        <f t="shared" si="0"/>
        <v>9054486.64</v>
      </c>
      <c r="D58" s="15">
        <v>887370.52</v>
      </c>
      <c r="E58" s="16">
        <v>959</v>
      </c>
      <c r="F58" s="15">
        <v>132.18687918963204</v>
      </c>
    </row>
    <row r="59" spans="1:6" ht="12.75">
      <c r="A59" s="22">
        <v>39501</v>
      </c>
      <c r="B59" s="15">
        <v>11228926.07</v>
      </c>
      <c r="C59" s="15">
        <f t="shared" si="0"/>
        <v>10236646.94</v>
      </c>
      <c r="D59" s="15">
        <v>992279.13</v>
      </c>
      <c r="E59" s="16">
        <v>959</v>
      </c>
      <c r="F59" s="15">
        <v>147.8145583196782</v>
      </c>
    </row>
    <row r="60" spans="1:6" ht="12.75">
      <c r="A60" s="22">
        <v>39508</v>
      </c>
      <c r="B60" s="15">
        <v>10656071.05</v>
      </c>
      <c r="C60" s="15">
        <f t="shared" si="0"/>
        <v>9663943.91</v>
      </c>
      <c r="D60" s="15">
        <v>992127.14</v>
      </c>
      <c r="E60" s="16">
        <v>959</v>
      </c>
      <c r="F60" s="15">
        <v>147.79191717562935</v>
      </c>
    </row>
    <row r="61" spans="1:6" ht="12.75">
      <c r="A61" s="22">
        <v>39515</v>
      </c>
      <c r="B61" s="15">
        <v>9017850.42</v>
      </c>
      <c r="C61" s="15">
        <f t="shared" si="0"/>
        <v>8282255.82</v>
      </c>
      <c r="D61" s="15">
        <v>735594.6</v>
      </c>
      <c r="E61" s="16">
        <v>959</v>
      </c>
      <c r="F61" s="15">
        <v>109.57762550275586</v>
      </c>
    </row>
    <row r="62" spans="1:6" ht="12.75">
      <c r="A62" s="22">
        <v>39522</v>
      </c>
      <c r="B62" s="15">
        <v>12927026.830000002</v>
      </c>
      <c r="C62" s="15">
        <f t="shared" si="0"/>
        <v>11793604.810000002</v>
      </c>
      <c r="D62" s="15">
        <v>1133422.02</v>
      </c>
      <c r="E62" s="16">
        <v>959</v>
      </c>
      <c r="F62" s="15">
        <v>168.83986593177417</v>
      </c>
    </row>
    <row r="63" spans="1:6" ht="12.75">
      <c r="A63" s="22">
        <v>39529</v>
      </c>
      <c r="B63" s="15">
        <v>11195157.93</v>
      </c>
      <c r="C63" s="15">
        <f t="shared" si="0"/>
        <v>10211546.23</v>
      </c>
      <c r="D63" s="15">
        <v>983611.7</v>
      </c>
      <c r="E63" s="16">
        <v>959</v>
      </c>
      <c r="F63" s="15">
        <v>146.52341725011172</v>
      </c>
    </row>
    <row r="64" spans="1:6" ht="12.75">
      <c r="A64" s="22">
        <v>39536</v>
      </c>
      <c r="B64" s="15">
        <v>11890590.64</v>
      </c>
      <c r="C64" s="15">
        <f t="shared" si="0"/>
        <v>10811525.98</v>
      </c>
      <c r="D64" s="15">
        <v>1079064.66</v>
      </c>
      <c r="E64" s="16">
        <v>959</v>
      </c>
      <c r="F64" s="15">
        <v>160.7425383584091</v>
      </c>
    </row>
    <row r="65" ht="12.75">
      <c r="A65" s="22"/>
    </row>
    <row r="66" spans="1:6" ht="13.5" thickBot="1">
      <c r="A66" s="3" t="s">
        <v>8</v>
      </c>
      <c r="B66" s="17">
        <f>SUM(B13:B64)</f>
        <v>521026038.05000013</v>
      </c>
      <c r="C66" s="17">
        <f>SUM(C13:C64)</f>
        <v>475192515.71</v>
      </c>
      <c r="D66" s="17">
        <f>SUM(D13:D64)</f>
        <v>45833522.34000002</v>
      </c>
      <c r="E66" s="24">
        <f>SUM(E13:E64)/COUNT(E13:E64)</f>
        <v>960.6318681318681</v>
      </c>
      <c r="F66" s="17">
        <f>+D66/SUM(E13:E64)/7</f>
        <v>131.0765073926846</v>
      </c>
    </row>
    <row r="67" spans="2:4" ht="10.5" customHeight="1" thickTop="1">
      <c r="B67" s="18"/>
      <c r="C67" s="18"/>
      <c r="D67" s="18"/>
    </row>
    <row r="68" spans="1:4" s="21" customFormat="1" ht="12.75">
      <c r="A68" s="19"/>
      <c r="B68" s="20"/>
      <c r="C68" s="20"/>
      <c r="D68" s="20"/>
    </row>
  </sheetData>
  <sheetProtection/>
  <mergeCells count="6">
    <mergeCell ref="A1:F1"/>
    <mergeCell ref="A8:F8"/>
    <mergeCell ref="A5:F5"/>
    <mergeCell ref="A4:F4"/>
    <mergeCell ref="A3:F3"/>
    <mergeCell ref="A2:F2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pane ySplit="11" topLeftCell="A58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5.7109375" style="22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7" s="26" customFormat="1" ht="18">
      <c r="A1" s="42" t="s">
        <v>18</v>
      </c>
      <c r="B1" s="42"/>
      <c r="C1" s="42"/>
      <c r="D1" s="42"/>
      <c r="E1" s="42"/>
      <c r="F1" s="42"/>
      <c r="G1" s="28"/>
    </row>
    <row r="2" spans="1:7" s="26" customFormat="1" ht="15">
      <c r="A2" s="43" t="s">
        <v>19</v>
      </c>
      <c r="B2" s="43"/>
      <c r="C2" s="43"/>
      <c r="D2" s="43"/>
      <c r="E2" s="43"/>
      <c r="F2" s="43"/>
      <c r="G2" s="29"/>
    </row>
    <row r="3" spans="1:7" s="27" customFormat="1" ht="15">
      <c r="A3" s="43" t="s">
        <v>20</v>
      </c>
      <c r="B3" s="43"/>
      <c r="C3" s="43"/>
      <c r="D3" s="43"/>
      <c r="E3" s="43"/>
      <c r="F3" s="43"/>
      <c r="G3" s="29"/>
    </row>
    <row r="4" spans="1:7" s="27" customFormat="1" ht="12.75">
      <c r="A4" s="44" t="s">
        <v>21</v>
      </c>
      <c r="B4" s="44"/>
      <c r="C4" s="44"/>
      <c r="D4" s="44"/>
      <c r="E4" s="44"/>
      <c r="F4" s="44"/>
      <c r="G4" s="32"/>
    </row>
    <row r="5" spans="1:7" s="27" customFormat="1" ht="14.25">
      <c r="A5" s="45" t="s">
        <v>22</v>
      </c>
      <c r="B5" s="45"/>
      <c r="C5" s="45"/>
      <c r="D5" s="45"/>
      <c r="E5" s="45"/>
      <c r="F5" s="45"/>
      <c r="G5" s="31"/>
    </row>
    <row r="6" spans="1:6" s="1" customFormat="1" ht="14.25">
      <c r="A6" s="33"/>
      <c r="B6" s="2"/>
      <c r="C6" s="2"/>
      <c r="D6" s="2"/>
      <c r="E6" s="2"/>
      <c r="F6" s="2"/>
    </row>
    <row r="7" spans="1:6" s="1" customFormat="1" ht="12.75">
      <c r="A7" s="22"/>
      <c r="B7" s="4"/>
      <c r="C7" s="4"/>
      <c r="D7" s="5"/>
      <c r="E7" s="6"/>
      <c r="F7" s="5"/>
    </row>
    <row r="8" spans="1:6" s="7" customFormat="1" ht="14.25" customHeight="1">
      <c r="A8" s="46" t="s">
        <v>14</v>
      </c>
      <c r="B8" s="47"/>
      <c r="C8" s="47"/>
      <c r="D8" s="47"/>
      <c r="E8" s="47"/>
      <c r="F8" s="48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2">
      <c r="A10" s="34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35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38815</v>
      </c>
      <c r="B13" s="15">
        <v>9643740.08</v>
      </c>
      <c r="C13" s="15">
        <f aca="true" t="shared" si="0" ref="C13:C64">+B13-D13</f>
        <v>8802272.98</v>
      </c>
      <c r="D13" s="15">
        <v>841467.1</v>
      </c>
      <c r="E13" s="16">
        <v>990</v>
      </c>
      <c r="F13" s="15">
        <v>121.42382395382393</v>
      </c>
    </row>
    <row r="14" spans="1:6" ht="12.75">
      <c r="A14" s="22">
        <v>38822</v>
      </c>
      <c r="B14" s="15">
        <v>9410592.19</v>
      </c>
      <c r="C14" s="15">
        <f t="shared" si="0"/>
        <v>8587282.87</v>
      </c>
      <c r="D14" s="15">
        <v>823309.32</v>
      </c>
      <c r="E14" s="16">
        <v>990</v>
      </c>
      <c r="F14" s="15">
        <v>118.80365367965368</v>
      </c>
    </row>
    <row r="15" spans="1:6" ht="12.75">
      <c r="A15" s="22">
        <v>38829</v>
      </c>
      <c r="B15" s="15">
        <v>10176096.06</v>
      </c>
      <c r="C15" s="15">
        <f t="shared" si="0"/>
        <v>9262299.21</v>
      </c>
      <c r="D15" s="15">
        <v>913796.85</v>
      </c>
      <c r="E15" s="16">
        <v>990</v>
      </c>
      <c r="F15" s="15">
        <v>131.86101731601732</v>
      </c>
    </row>
    <row r="16" spans="1:6" ht="12.75">
      <c r="A16" s="22">
        <v>38836</v>
      </c>
      <c r="B16" s="15">
        <v>10676933.35</v>
      </c>
      <c r="C16" s="15">
        <f t="shared" si="0"/>
        <v>9780295.23</v>
      </c>
      <c r="D16" s="15">
        <v>896638.12</v>
      </c>
      <c r="E16" s="16">
        <v>990</v>
      </c>
      <c r="F16" s="15">
        <v>129.38501010101012</v>
      </c>
    </row>
    <row r="17" spans="1:6" ht="12.75">
      <c r="A17" s="22">
        <v>38843</v>
      </c>
      <c r="B17" s="15">
        <v>9421076.53</v>
      </c>
      <c r="C17" s="15">
        <f t="shared" si="0"/>
        <v>8622830.739999998</v>
      </c>
      <c r="D17" s="15">
        <v>798245.79</v>
      </c>
      <c r="E17" s="16">
        <v>990</v>
      </c>
      <c r="F17" s="15">
        <v>115.18698268398269</v>
      </c>
    </row>
    <row r="18" spans="1:6" ht="12.75">
      <c r="A18" s="22">
        <v>38850</v>
      </c>
      <c r="B18" s="15">
        <v>8953000.27</v>
      </c>
      <c r="C18" s="15">
        <f t="shared" si="0"/>
        <v>8168033.409999999</v>
      </c>
      <c r="D18" s="15">
        <v>784966.86</v>
      </c>
      <c r="E18" s="16">
        <v>990</v>
      </c>
      <c r="F18" s="15">
        <v>113.27083116883115</v>
      </c>
    </row>
    <row r="19" spans="1:6" ht="12.75">
      <c r="A19" s="22">
        <v>38857</v>
      </c>
      <c r="B19" s="15">
        <v>10159202.92</v>
      </c>
      <c r="C19" s="15">
        <f t="shared" si="0"/>
        <v>9290387.89</v>
      </c>
      <c r="D19" s="15">
        <v>868815.03</v>
      </c>
      <c r="E19" s="16">
        <v>990</v>
      </c>
      <c r="F19" s="15">
        <v>125.3701341991342</v>
      </c>
    </row>
    <row r="20" spans="1:6" ht="12.75">
      <c r="A20" s="22">
        <v>38864</v>
      </c>
      <c r="B20" s="15">
        <v>9212610.64</v>
      </c>
      <c r="C20" s="15">
        <f t="shared" si="0"/>
        <v>8369149.4</v>
      </c>
      <c r="D20" s="15">
        <v>843461.24</v>
      </c>
      <c r="E20" s="16">
        <v>990</v>
      </c>
      <c r="F20" s="15">
        <v>121.71157864357865</v>
      </c>
    </row>
    <row r="21" spans="1:6" ht="12.75">
      <c r="A21" s="22">
        <v>38871</v>
      </c>
      <c r="B21" s="15">
        <v>9126410.43</v>
      </c>
      <c r="C21" s="15">
        <f t="shared" si="0"/>
        <v>8349698.77</v>
      </c>
      <c r="D21" s="15">
        <v>776711.66</v>
      </c>
      <c r="E21" s="16">
        <v>990</v>
      </c>
      <c r="F21" s="15">
        <v>112.0796046176046</v>
      </c>
    </row>
    <row r="22" spans="1:6" ht="12.75">
      <c r="A22" s="22">
        <v>38878</v>
      </c>
      <c r="B22" s="15">
        <v>10067629.759999998</v>
      </c>
      <c r="C22" s="15">
        <f t="shared" si="0"/>
        <v>9234185.789999997</v>
      </c>
      <c r="D22" s="15">
        <v>833443.97</v>
      </c>
      <c r="E22" s="16">
        <v>990</v>
      </c>
      <c r="F22" s="15">
        <v>120.26608513708513</v>
      </c>
    </row>
    <row r="23" spans="1:6" ht="12.75">
      <c r="A23" s="22">
        <v>38885</v>
      </c>
      <c r="B23" s="15">
        <v>10395678</v>
      </c>
      <c r="C23" s="15">
        <f t="shared" si="0"/>
        <v>9501936.82</v>
      </c>
      <c r="D23" s="15">
        <v>893741.18</v>
      </c>
      <c r="E23" s="16">
        <v>964</v>
      </c>
      <c r="F23" s="15">
        <v>132.44534380557204</v>
      </c>
    </row>
    <row r="24" spans="1:6" ht="12.75">
      <c r="A24" s="22">
        <v>38892</v>
      </c>
      <c r="B24" s="15">
        <v>9122870.11</v>
      </c>
      <c r="C24" s="15">
        <f t="shared" si="0"/>
        <v>8295291.1899999995</v>
      </c>
      <c r="D24" s="15">
        <v>827578.92</v>
      </c>
      <c r="E24" s="16">
        <v>959</v>
      </c>
      <c r="F24" s="15">
        <v>123.28004171011472</v>
      </c>
    </row>
    <row r="25" spans="1:6" ht="12.75">
      <c r="A25" s="22">
        <v>38899</v>
      </c>
      <c r="B25" s="15">
        <v>9380703.15</v>
      </c>
      <c r="C25" s="15">
        <f t="shared" si="0"/>
        <v>8558758.3</v>
      </c>
      <c r="D25" s="15">
        <v>821944.85</v>
      </c>
      <c r="E25" s="16">
        <v>959</v>
      </c>
      <c r="F25" s="15">
        <v>122.44076418888724</v>
      </c>
    </row>
    <row r="26" spans="1:6" ht="12.75">
      <c r="A26" s="22">
        <v>38906</v>
      </c>
      <c r="B26" s="15">
        <v>10527737.21</v>
      </c>
      <c r="C26" s="15">
        <f t="shared" si="0"/>
        <v>9558907.540000001</v>
      </c>
      <c r="D26" s="15">
        <v>968829.67</v>
      </c>
      <c r="E26" s="16">
        <v>959</v>
      </c>
      <c r="F26" s="15">
        <v>144.32141665425294</v>
      </c>
    </row>
    <row r="27" spans="1:6" ht="12.75">
      <c r="A27" s="22">
        <v>38913</v>
      </c>
      <c r="B27" s="15">
        <v>9463048.27</v>
      </c>
      <c r="C27" s="15">
        <f t="shared" si="0"/>
        <v>8621100.73</v>
      </c>
      <c r="D27" s="15">
        <v>841947.54</v>
      </c>
      <c r="E27" s="16">
        <v>959</v>
      </c>
      <c r="F27" s="15">
        <v>125.42045881126174</v>
      </c>
    </row>
    <row r="28" spans="1:6" ht="12.75">
      <c r="A28" s="22">
        <v>38920</v>
      </c>
      <c r="B28" s="15">
        <v>9746342.97</v>
      </c>
      <c r="C28" s="15">
        <f t="shared" si="0"/>
        <v>8868631.83</v>
      </c>
      <c r="D28" s="15">
        <v>877711.14</v>
      </c>
      <c r="E28" s="16">
        <v>959</v>
      </c>
      <c r="F28" s="15">
        <v>130.74797259049606</v>
      </c>
    </row>
    <row r="29" spans="1:6" ht="12.75">
      <c r="A29" s="22">
        <v>38927</v>
      </c>
      <c r="B29" s="15">
        <v>9656057.33</v>
      </c>
      <c r="C29" s="15">
        <f t="shared" si="0"/>
        <v>8771850.28</v>
      </c>
      <c r="D29" s="15">
        <v>884207.05</v>
      </c>
      <c r="E29" s="16">
        <v>959</v>
      </c>
      <c r="F29" s="15">
        <v>131.7156338447788</v>
      </c>
    </row>
    <row r="30" spans="1:6" ht="12.75">
      <c r="A30" s="22">
        <v>38934</v>
      </c>
      <c r="B30" s="15">
        <v>9281086.69</v>
      </c>
      <c r="C30" s="15">
        <f t="shared" si="0"/>
        <v>8526373.66</v>
      </c>
      <c r="D30" s="15">
        <v>754713.03</v>
      </c>
      <c r="E30" s="16">
        <v>959</v>
      </c>
      <c r="F30" s="15">
        <v>112.42559660360494</v>
      </c>
    </row>
    <row r="31" spans="1:6" ht="12.75">
      <c r="A31" s="22">
        <v>38941</v>
      </c>
      <c r="B31" s="15">
        <v>6829244.930000001</v>
      </c>
      <c r="C31" s="15">
        <f t="shared" si="0"/>
        <v>6195983.880000001</v>
      </c>
      <c r="D31" s="15">
        <v>633261.05</v>
      </c>
      <c r="E31" s="16">
        <v>959</v>
      </c>
      <c r="F31" s="15">
        <v>94.33353940116193</v>
      </c>
    </row>
    <row r="32" spans="1:6" ht="12.75">
      <c r="A32" s="22">
        <v>38948</v>
      </c>
      <c r="B32" s="15">
        <v>7222165.7299999995</v>
      </c>
      <c r="C32" s="15">
        <f t="shared" si="0"/>
        <v>6565375.88</v>
      </c>
      <c r="D32" s="15">
        <v>656789.85</v>
      </c>
      <c r="E32" s="16">
        <v>959</v>
      </c>
      <c r="F32" s="15">
        <v>97.83849992551765</v>
      </c>
    </row>
    <row r="33" spans="1:6" ht="12.75">
      <c r="A33" s="22">
        <v>38955</v>
      </c>
      <c r="B33" s="15">
        <v>8729225.120000001</v>
      </c>
      <c r="C33" s="15">
        <f t="shared" si="0"/>
        <v>7908158.480000001</v>
      </c>
      <c r="D33" s="15">
        <v>821066.64</v>
      </c>
      <c r="E33" s="16">
        <v>959</v>
      </c>
      <c r="F33" s="15">
        <v>122.30994190376879</v>
      </c>
    </row>
    <row r="34" spans="1:6" ht="12.75">
      <c r="A34" s="22">
        <v>38962</v>
      </c>
      <c r="B34" s="15">
        <v>8901154.280000001</v>
      </c>
      <c r="C34" s="15">
        <f t="shared" si="0"/>
        <v>8089073.820000001</v>
      </c>
      <c r="D34" s="15">
        <v>812080.46</v>
      </c>
      <c r="E34" s="16">
        <v>959</v>
      </c>
      <c r="F34" s="15">
        <v>120.971318337554</v>
      </c>
    </row>
    <row r="35" spans="1:6" ht="12.75">
      <c r="A35" s="22">
        <v>38969</v>
      </c>
      <c r="B35" s="15">
        <v>9621229.19</v>
      </c>
      <c r="C35" s="15">
        <f t="shared" si="0"/>
        <v>8745430.45</v>
      </c>
      <c r="D35" s="15">
        <v>875798.74</v>
      </c>
      <c r="E35" s="16">
        <v>959</v>
      </c>
      <c r="F35" s="15">
        <v>130.46309250707583</v>
      </c>
    </row>
    <row r="36" spans="1:6" ht="12.75">
      <c r="A36" s="22">
        <v>38976</v>
      </c>
      <c r="B36" s="15">
        <v>9233535.05</v>
      </c>
      <c r="C36" s="15">
        <f t="shared" si="0"/>
        <v>8399842.370000001</v>
      </c>
      <c r="D36" s="15">
        <v>833692.68</v>
      </c>
      <c r="E36" s="16">
        <v>959</v>
      </c>
      <c r="F36" s="15">
        <v>124.19077610606287</v>
      </c>
    </row>
    <row r="37" spans="1:6" ht="12.75">
      <c r="A37" s="22">
        <v>38983</v>
      </c>
      <c r="B37" s="15">
        <v>8786273.120000001</v>
      </c>
      <c r="C37" s="15">
        <f t="shared" si="0"/>
        <v>8003701.620000001</v>
      </c>
      <c r="D37" s="15">
        <v>782571.5</v>
      </c>
      <c r="E37" s="16">
        <v>959</v>
      </c>
      <c r="F37" s="15">
        <v>116.57552510055118</v>
      </c>
    </row>
    <row r="38" spans="1:6" ht="12.75">
      <c r="A38" s="22">
        <v>38990</v>
      </c>
      <c r="B38" s="15">
        <v>8806846.15</v>
      </c>
      <c r="C38" s="15">
        <f t="shared" si="0"/>
        <v>8041781.720000001</v>
      </c>
      <c r="D38" s="15">
        <v>765064.43</v>
      </c>
      <c r="E38" s="16">
        <v>959</v>
      </c>
      <c r="F38" s="15">
        <v>113.96758975122899</v>
      </c>
    </row>
    <row r="39" spans="1:6" ht="12.75">
      <c r="A39" s="22">
        <v>38997</v>
      </c>
      <c r="B39" s="15">
        <v>9134469.57</v>
      </c>
      <c r="C39" s="15">
        <f t="shared" si="0"/>
        <v>8356489.9</v>
      </c>
      <c r="D39" s="15">
        <v>777979.67</v>
      </c>
      <c r="E39" s="16">
        <v>947.5714285714286</v>
      </c>
      <c r="F39" s="15">
        <v>117.28926126941053</v>
      </c>
    </row>
    <row r="40" spans="1:6" ht="12.75">
      <c r="A40" s="22">
        <v>39004</v>
      </c>
      <c r="B40" s="15">
        <v>6663195.41</v>
      </c>
      <c r="C40" s="15">
        <f t="shared" si="0"/>
        <v>6073176.720000001</v>
      </c>
      <c r="D40" s="15">
        <v>590018.69</v>
      </c>
      <c r="E40" s="16">
        <v>953</v>
      </c>
      <c r="F40" s="15">
        <v>88.44531404587018</v>
      </c>
    </row>
    <row r="41" spans="1:6" ht="12.75">
      <c r="A41" s="22">
        <v>39011</v>
      </c>
      <c r="B41" s="15">
        <v>9190262.97</v>
      </c>
      <c r="C41" s="15">
        <f t="shared" si="0"/>
        <v>8384409.390000001</v>
      </c>
      <c r="D41" s="15">
        <v>805853.58</v>
      </c>
      <c r="E41" s="16">
        <v>953</v>
      </c>
      <c r="F41" s="15">
        <v>120.79951731374608</v>
      </c>
    </row>
    <row r="42" spans="1:6" ht="12.75">
      <c r="A42" s="22">
        <v>39018</v>
      </c>
      <c r="B42" s="15">
        <v>7934993.8100000005</v>
      </c>
      <c r="C42" s="15">
        <f t="shared" si="0"/>
        <v>7245027.83</v>
      </c>
      <c r="D42" s="15">
        <v>689965.98</v>
      </c>
      <c r="E42" s="16">
        <v>953</v>
      </c>
      <c r="F42" s="15">
        <v>103.42766901514015</v>
      </c>
    </row>
    <row r="43" spans="1:6" ht="12.75">
      <c r="A43" s="22">
        <v>39025</v>
      </c>
      <c r="B43" s="15">
        <v>9040596.09</v>
      </c>
      <c r="C43" s="15">
        <f t="shared" si="0"/>
        <v>8244578.359999999</v>
      </c>
      <c r="D43" s="15">
        <v>796017.73</v>
      </c>
      <c r="E43" s="16">
        <v>953</v>
      </c>
      <c r="F43" s="15">
        <v>119.32509818617898</v>
      </c>
    </row>
    <row r="44" spans="1:6" ht="12.75">
      <c r="A44" s="22">
        <v>39032</v>
      </c>
      <c r="B44" s="15">
        <v>8941471.530000001</v>
      </c>
      <c r="C44" s="15">
        <f t="shared" si="0"/>
        <v>8122977.8900000015</v>
      </c>
      <c r="D44" s="15">
        <v>818493.64</v>
      </c>
      <c r="E44" s="16">
        <v>955.5714285714286</v>
      </c>
      <c r="F44" s="15">
        <v>122.364126177306</v>
      </c>
    </row>
    <row r="45" spans="1:6" ht="12.75">
      <c r="A45" s="22">
        <v>39039</v>
      </c>
      <c r="B45" s="15">
        <v>8555915.52</v>
      </c>
      <c r="C45" s="15">
        <f t="shared" si="0"/>
        <v>7830750.75</v>
      </c>
      <c r="D45" s="15">
        <v>725164.77</v>
      </c>
      <c r="E45" s="16">
        <v>959</v>
      </c>
      <c r="F45" s="15">
        <v>108.0239490540742</v>
      </c>
    </row>
    <row r="46" spans="1:6" ht="12.75">
      <c r="A46" s="22">
        <v>39046</v>
      </c>
      <c r="B46" s="15">
        <v>8018027.999999999</v>
      </c>
      <c r="C46" s="15">
        <f t="shared" si="0"/>
        <v>7309485.379999999</v>
      </c>
      <c r="D46" s="15">
        <v>708542.62</v>
      </c>
      <c r="E46" s="16">
        <v>959</v>
      </c>
      <c r="F46" s="15">
        <v>105.54783554297632</v>
      </c>
    </row>
    <row r="47" spans="1:6" ht="12.75">
      <c r="A47" s="22">
        <v>39053</v>
      </c>
      <c r="B47" s="15">
        <v>7957755.670000001</v>
      </c>
      <c r="C47" s="15">
        <f t="shared" si="0"/>
        <v>7242835.540000001</v>
      </c>
      <c r="D47" s="15">
        <v>714920.13</v>
      </c>
      <c r="E47" s="16">
        <v>959</v>
      </c>
      <c r="F47" s="15">
        <v>106.49785937732757</v>
      </c>
    </row>
    <row r="48" spans="1:6" ht="12.75">
      <c r="A48" s="22">
        <v>39060</v>
      </c>
      <c r="B48" s="15">
        <v>7174474.449999999</v>
      </c>
      <c r="C48" s="15">
        <f t="shared" si="0"/>
        <v>6511507.839999999</v>
      </c>
      <c r="D48" s="15">
        <v>662966.61</v>
      </c>
      <c r="E48" s="16">
        <v>959</v>
      </c>
      <c r="F48" s="15">
        <v>98.75861909727395</v>
      </c>
    </row>
    <row r="49" spans="1:6" ht="12.75">
      <c r="A49" s="22">
        <v>39067</v>
      </c>
      <c r="B49" s="15">
        <v>8574105.389999999</v>
      </c>
      <c r="C49" s="15">
        <f t="shared" si="0"/>
        <v>7825555.729999999</v>
      </c>
      <c r="D49" s="15">
        <v>748549.66</v>
      </c>
      <c r="E49" s="16">
        <v>959</v>
      </c>
      <c r="F49" s="15">
        <v>111.5074720691196</v>
      </c>
    </row>
    <row r="50" spans="1:6" ht="12.75">
      <c r="A50" s="22">
        <v>39074</v>
      </c>
      <c r="B50" s="15">
        <v>8096062.179999999</v>
      </c>
      <c r="C50" s="15">
        <f t="shared" si="0"/>
        <v>7399589.169999999</v>
      </c>
      <c r="D50" s="15">
        <v>696473.01</v>
      </c>
      <c r="E50" s="16">
        <v>959</v>
      </c>
      <c r="F50" s="15">
        <v>103.74988976612543</v>
      </c>
    </row>
    <row r="51" spans="1:6" ht="12.75">
      <c r="A51" s="22">
        <v>39081</v>
      </c>
      <c r="B51" s="15">
        <v>9416245.43</v>
      </c>
      <c r="C51" s="15">
        <f t="shared" si="0"/>
        <v>8627719.51</v>
      </c>
      <c r="D51" s="15">
        <v>788525.92</v>
      </c>
      <c r="E51" s="16">
        <v>959</v>
      </c>
      <c r="F51" s="15">
        <v>117.46252346193953</v>
      </c>
    </row>
    <row r="52" spans="1:6" ht="12.75">
      <c r="A52" s="22">
        <v>39088</v>
      </c>
      <c r="B52" s="15">
        <v>10837642.95</v>
      </c>
      <c r="C52" s="15">
        <f t="shared" si="0"/>
        <v>9878107.86</v>
      </c>
      <c r="D52" s="15">
        <v>959535.09</v>
      </c>
      <c r="E52" s="16">
        <v>959</v>
      </c>
      <c r="F52" s="15">
        <v>142.9368523759869</v>
      </c>
    </row>
    <row r="53" spans="1:6" ht="12.75">
      <c r="A53" s="22">
        <v>39095</v>
      </c>
      <c r="B53" s="15">
        <v>9080147</v>
      </c>
      <c r="C53" s="15">
        <f t="shared" si="0"/>
        <v>8285813.86</v>
      </c>
      <c r="D53" s="15">
        <v>794333.14</v>
      </c>
      <c r="E53" s="16">
        <v>959</v>
      </c>
      <c r="F53" s="15">
        <v>118.3275942201698</v>
      </c>
    </row>
    <row r="54" spans="1:6" ht="12.75">
      <c r="A54" s="22">
        <v>39102</v>
      </c>
      <c r="B54" s="15">
        <v>9557498.370000001</v>
      </c>
      <c r="C54" s="15">
        <f t="shared" si="0"/>
        <v>8684333.66</v>
      </c>
      <c r="D54" s="15">
        <v>873164.71</v>
      </c>
      <c r="E54" s="16">
        <v>959</v>
      </c>
      <c r="F54" s="15">
        <v>130.07071503053777</v>
      </c>
    </row>
    <row r="55" spans="1:6" ht="12.75">
      <c r="A55" s="22">
        <v>39109</v>
      </c>
      <c r="B55" s="15">
        <v>7931780.140000001</v>
      </c>
      <c r="C55" s="15">
        <f t="shared" si="0"/>
        <v>7222996.99</v>
      </c>
      <c r="D55" s="15">
        <v>708783.15</v>
      </c>
      <c r="E55" s="16">
        <v>959</v>
      </c>
      <c r="F55" s="15">
        <v>105.58366602115298</v>
      </c>
    </row>
    <row r="56" spans="1:6" ht="12.75">
      <c r="A56" s="22">
        <v>39116</v>
      </c>
      <c r="B56" s="15">
        <v>7755140.649999999</v>
      </c>
      <c r="C56" s="15">
        <f t="shared" si="0"/>
        <v>7053580.749999999</v>
      </c>
      <c r="D56" s="15">
        <v>701559.9</v>
      </c>
      <c r="E56" s="16">
        <v>959</v>
      </c>
      <c r="F56" s="15">
        <v>104.50765678534187</v>
      </c>
    </row>
    <row r="57" spans="1:6" ht="12.75">
      <c r="A57" s="22">
        <v>39123</v>
      </c>
      <c r="B57" s="15">
        <v>6590901.49</v>
      </c>
      <c r="C57" s="15">
        <f t="shared" si="0"/>
        <v>6028731.640000001</v>
      </c>
      <c r="D57" s="15">
        <v>562169.85</v>
      </c>
      <c r="E57" s="16">
        <v>959</v>
      </c>
      <c r="F57" s="15">
        <v>83.7434604498734</v>
      </c>
    </row>
    <row r="58" spans="1:6" ht="12.75">
      <c r="A58" s="22">
        <v>39130</v>
      </c>
      <c r="B58" s="15">
        <v>8921370.5</v>
      </c>
      <c r="C58" s="15">
        <f t="shared" si="0"/>
        <v>8133097.15</v>
      </c>
      <c r="D58" s="15">
        <v>788273.35</v>
      </c>
      <c r="E58" s="16">
        <v>959</v>
      </c>
      <c r="F58" s="15">
        <v>117.42489944883064</v>
      </c>
    </row>
    <row r="59" spans="1:6" ht="12.75">
      <c r="A59" s="22">
        <v>39137</v>
      </c>
      <c r="B59" s="15">
        <v>10116028.159999998</v>
      </c>
      <c r="C59" s="15">
        <f t="shared" si="0"/>
        <v>9208259.209999999</v>
      </c>
      <c r="D59" s="15">
        <v>907768.95</v>
      </c>
      <c r="E59" s="16">
        <v>959</v>
      </c>
      <c r="F59" s="15">
        <v>135.22552510055115</v>
      </c>
    </row>
    <row r="60" spans="1:6" ht="12.75">
      <c r="A60" s="22">
        <v>39144</v>
      </c>
      <c r="B60" s="15">
        <v>9776131.779999997</v>
      </c>
      <c r="C60" s="15">
        <f t="shared" si="0"/>
        <v>8949830.969999997</v>
      </c>
      <c r="D60" s="15">
        <v>826300.81</v>
      </c>
      <c r="E60" s="16">
        <v>959</v>
      </c>
      <c r="F60" s="15">
        <v>123.08964844331892</v>
      </c>
    </row>
    <row r="61" spans="1:6" ht="12.75">
      <c r="A61" s="22">
        <v>39151</v>
      </c>
      <c r="B61" s="15">
        <v>10613985.149999999</v>
      </c>
      <c r="C61" s="15">
        <f t="shared" si="0"/>
        <v>9674198.219999999</v>
      </c>
      <c r="D61" s="15">
        <v>939786.93</v>
      </c>
      <c r="E61" s="16">
        <v>959</v>
      </c>
      <c r="F61" s="15">
        <v>139.99507373752422</v>
      </c>
    </row>
    <row r="62" spans="1:6" ht="12.75">
      <c r="A62" s="22">
        <v>39158</v>
      </c>
      <c r="B62" s="15">
        <v>10958947.020000001</v>
      </c>
      <c r="C62" s="15">
        <f t="shared" si="0"/>
        <v>9977927.540000001</v>
      </c>
      <c r="D62" s="15">
        <v>981019.48</v>
      </c>
      <c r="E62" s="16">
        <v>959</v>
      </c>
      <c r="F62" s="15">
        <v>146.13726798748695</v>
      </c>
    </row>
    <row r="63" spans="1:6" ht="12.75">
      <c r="A63" s="25">
        <v>39165</v>
      </c>
      <c r="B63" s="23">
        <v>10865664.659999998</v>
      </c>
      <c r="C63" s="15">
        <f t="shared" si="0"/>
        <v>9963022.329999998</v>
      </c>
      <c r="D63" s="23">
        <v>902642.33</v>
      </c>
      <c r="E63" s="16">
        <v>959</v>
      </c>
      <c r="F63" s="15">
        <v>134.46183971398776</v>
      </c>
    </row>
    <row r="64" spans="1:6" ht="12.75">
      <c r="A64" s="36">
        <v>39172</v>
      </c>
      <c r="B64" s="23">
        <v>10380697.45</v>
      </c>
      <c r="C64" s="15">
        <f t="shared" si="0"/>
        <v>9444070.219999999</v>
      </c>
      <c r="D64" s="23">
        <v>936627.23</v>
      </c>
      <c r="E64" s="16">
        <v>959</v>
      </c>
      <c r="F64" s="15">
        <v>139.52438998957248</v>
      </c>
    </row>
    <row r="66" spans="1:6" ht="13.5" thickBot="1">
      <c r="A66" s="25" t="s">
        <v>13</v>
      </c>
      <c r="B66" s="17">
        <f>SUM(B13:B64)</f>
        <v>474634000.8699999</v>
      </c>
      <c r="C66" s="17">
        <f>SUM(C13:C64)</f>
        <v>432796709.27</v>
      </c>
      <c r="D66" s="17">
        <f>SUM(D13:D64)</f>
        <v>41837291.6</v>
      </c>
      <c r="E66" s="24">
        <f>SUM(E13:E64)/COUNT(E13:E64)</f>
        <v>964.3104395604395</v>
      </c>
      <c r="F66" s="17">
        <f>+D66/SUM(E13:E64)/7</f>
        <v>119.19150677048167</v>
      </c>
    </row>
    <row r="67" spans="2:4" ht="12.75" customHeight="1" thickTop="1">
      <c r="B67" s="18"/>
      <c r="C67" s="18"/>
      <c r="D67" s="18"/>
    </row>
    <row r="68" spans="1:4" s="21" customFormat="1" ht="12.75">
      <c r="A68" s="22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ySplit="10" topLeftCell="A59" activePane="bottomLeft" state="frozen"/>
      <selection pane="topLeft" activeCell="A1" sqref="A1"/>
      <selection pane="bottomLeft" activeCell="A64" sqref="A64:G64"/>
    </sheetView>
  </sheetViews>
  <sheetFormatPr defaultColWidth="9.140625" defaultRowHeight="12.75"/>
  <cols>
    <col min="1" max="1" width="15.7109375" style="22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0" s="26" customFormat="1" ht="18">
      <c r="A1" s="42" t="s">
        <v>30</v>
      </c>
      <c r="B1" s="42"/>
      <c r="C1" s="42"/>
      <c r="D1" s="42"/>
      <c r="E1" s="42"/>
      <c r="F1" s="42"/>
      <c r="G1" s="42"/>
      <c r="H1" s="28"/>
      <c r="I1" s="28"/>
      <c r="J1" s="28"/>
    </row>
    <row r="2" spans="1:10" s="26" customFormat="1" ht="15">
      <c r="A2" s="43" t="s">
        <v>19</v>
      </c>
      <c r="B2" s="43"/>
      <c r="C2" s="43"/>
      <c r="D2" s="43"/>
      <c r="E2" s="43"/>
      <c r="F2" s="43"/>
      <c r="G2" s="43"/>
      <c r="H2" s="29"/>
      <c r="I2" s="29"/>
      <c r="J2" s="29"/>
    </row>
    <row r="3" spans="1:10" s="27" customFormat="1" ht="15">
      <c r="A3" s="43" t="s">
        <v>20</v>
      </c>
      <c r="B3" s="43"/>
      <c r="C3" s="43"/>
      <c r="D3" s="43"/>
      <c r="E3" s="43"/>
      <c r="F3" s="43"/>
      <c r="G3" s="43"/>
      <c r="H3" s="29"/>
      <c r="I3" s="29"/>
      <c r="J3" s="29"/>
    </row>
    <row r="4" spans="1:10" s="27" customFormat="1" ht="14.25">
      <c r="A4" s="44" t="s">
        <v>21</v>
      </c>
      <c r="B4" s="44"/>
      <c r="C4" s="44"/>
      <c r="D4" s="44"/>
      <c r="E4" s="44"/>
      <c r="F4" s="44"/>
      <c r="G4" s="44"/>
      <c r="H4" s="32"/>
      <c r="I4" s="30"/>
      <c r="J4" s="30"/>
    </row>
    <row r="5" spans="1:10" s="27" customFormat="1" ht="14.25">
      <c r="A5" s="45" t="s">
        <v>22</v>
      </c>
      <c r="B5" s="45"/>
      <c r="C5" s="45"/>
      <c r="D5" s="45"/>
      <c r="E5" s="45"/>
      <c r="F5" s="45"/>
      <c r="G5" s="45"/>
      <c r="H5" s="31"/>
      <c r="I5" s="31"/>
      <c r="J5" s="31"/>
    </row>
    <row r="6" spans="1:7" s="1" customFormat="1" ht="14.25">
      <c r="A6" s="33"/>
      <c r="B6" s="2"/>
      <c r="C6" s="2"/>
      <c r="D6" s="2"/>
      <c r="E6" s="2"/>
      <c r="F6" s="2"/>
      <c r="G6" s="2"/>
    </row>
    <row r="7" spans="1:7" s="7" customFormat="1" ht="14.25" customHeight="1">
      <c r="A7" s="46" t="s">
        <v>40</v>
      </c>
      <c r="B7" s="47"/>
      <c r="C7" s="47"/>
      <c r="D7" s="47"/>
      <c r="E7" s="47"/>
      <c r="F7" s="47"/>
      <c r="G7" s="48"/>
    </row>
    <row r="8" spans="1:7" s="1" customFormat="1" ht="9" customHeight="1">
      <c r="A8" s="22"/>
      <c r="B8" s="4"/>
      <c r="C8" s="4"/>
      <c r="D8" s="4"/>
      <c r="E8" s="5"/>
      <c r="F8" s="6"/>
      <c r="G8" s="5"/>
    </row>
    <row r="9" spans="1:7" s="12" customFormat="1" ht="12">
      <c r="A9" s="34"/>
      <c r="B9" s="10" t="s">
        <v>0</v>
      </c>
      <c r="C9" s="10" t="s">
        <v>26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35" t="s">
        <v>11</v>
      </c>
      <c r="B10" s="8" t="s">
        <v>3</v>
      </c>
      <c r="C10" s="8" t="s">
        <v>28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2">
        <v>45017</v>
      </c>
      <c r="B12" s="18">
        <v>20570896.64</v>
      </c>
      <c r="C12" s="18">
        <v>140984</v>
      </c>
      <c r="D12" s="18">
        <f aca="true" t="shared" si="0" ref="D12:D63">IF(ISBLANK(B12),"",B12-C12-E12)</f>
        <v>18797195.900000002</v>
      </c>
      <c r="E12" s="18">
        <v>1632716.74</v>
      </c>
      <c r="F12" s="39">
        <v>931</v>
      </c>
      <c r="G12" s="18">
        <f>IF(ISBLANK(B12),"",E12/F12/7)</f>
        <v>250.53195335276968</v>
      </c>
    </row>
    <row r="13" spans="1:7" ht="12.75">
      <c r="A13" s="22">
        <f aca="true" t="shared" si="1" ref="A13:A63">+A12+7</f>
        <v>45024</v>
      </c>
      <c r="B13" s="18">
        <v>21079344.57</v>
      </c>
      <c r="C13" s="18">
        <v>189574.90999999997</v>
      </c>
      <c r="D13" s="18">
        <f>IF(ISBLANK(B13),"",B13-C13-E13)</f>
        <v>19255017.59</v>
      </c>
      <c r="E13" s="18">
        <v>1634752.0699999998</v>
      </c>
      <c r="F13" s="39">
        <v>931</v>
      </c>
      <c r="G13" s="18">
        <f>IF(ISBLANK(B13),"",E13/F13/7)</f>
        <v>250.84426423200856</v>
      </c>
    </row>
    <row r="14" spans="1:7" ht="12.75">
      <c r="A14" s="22">
        <f t="shared" si="1"/>
        <v>45031</v>
      </c>
      <c r="B14" s="18">
        <v>20782522.66</v>
      </c>
      <c r="C14" s="18">
        <v>267440.89</v>
      </c>
      <c r="D14" s="18">
        <f t="shared" si="0"/>
        <v>18984537.52</v>
      </c>
      <c r="E14" s="18">
        <v>1530544.2499999995</v>
      </c>
      <c r="F14" s="39">
        <v>931</v>
      </c>
      <c r="G14" s="18">
        <f>IF(ISBLANK(B14),"",E14/F14/7)</f>
        <v>234.8541123216203</v>
      </c>
    </row>
    <row r="15" spans="1:7" ht="12.75">
      <c r="A15" s="22">
        <f t="shared" si="1"/>
        <v>45038</v>
      </c>
      <c r="B15" s="18">
        <v>20964829.340000004</v>
      </c>
      <c r="C15" s="18">
        <v>214904.16999999998</v>
      </c>
      <c r="D15" s="18">
        <f>IF(ISBLANK(B15),"",B15-C15-E15)</f>
        <v>19195939.580000002</v>
      </c>
      <c r="E15" s="18">
        <v>1553985.5899999999</v>
      </c>
      <c r="F15" s="39">
        <v>931</v>
      </c>
      <c r="G15" s="18">
        <f aca="true" t="shared" si="2" ref="G15:G63">IF(ISBLANK(B15),"",E15/F15/7)</f>
        <v>238.45106490716586</v>
      </c>
    </row>
    <row r="16" spans="1:7" ht="12.75">
      <c r="A16" s="22">
        <f t="shared" si="1"/>
        <v>45045</v>
      </c>
      <c r="B16" s="18">
        <v>22200217.16</v>
      </c>
      <c r="C16" s="18">
        <v>226401.82</v>
      </c>
      <c r="D16" s="18">
        <f>IF(ISBLANK(B16),"",B16-C16-E16)</f>
        <v>20344947.619999997</v>
      </c>
      <c r="E16" s="18">
        <v>1628867.7200000007</v>
      </c>
      <c r="F16" s="39">
        <v>931</v>
      </c>
      <c r="G16" s="18">
        <f t="shared" si="2"/>
        <v>249.9413411078718</v>
      </c>
    </row>
    <row r="17" spans="1:7" ht="12.75">
      <c r="A17" s="22">
        <f t="shared" si="1"/>
        <v>45052</v>
      </c>
      <c r="B17" s="18">
        <v>20355364.490000002</v>
      </c>
      <c r="C17" s="18">
        <v>194873.24999999997</v>
      </c>
      <c r="D17" s="18">
        <f aca="true" t="shared" si="3" ref="D17:D35">IF(ISBLANK(B17),"",B17-C17-E17)</f>
        <v>18523773.180000003</v>
      </c>
      <c r="E17" s="18">
        <v>1636718.06</v>
      </c>
      <c r="F17" s="39">
        <v>924</v>
      </c>
      <c r="G17" s="18">
        <f t="shared" si="2"/>
        <v>253.04855596784168</v>
      </c>
    </row>
    <row r="18" spans="1:7" ht="12.75">
      <c r="A18" s="22">
        <f t="shared" si="1"/>
        <v>45059</v>
      </c>
      <c r="B18" s="18">
        <v>19277349.5</v>
      </c>
      <c r="C18" s="18">
        <v>206371.21999999997</v>
      </c>
      <c r="D18" s="18">
        <f t="shared" si="3"/>
        <v>17678246.630000003</v>
      </c>
      <c r="E18" s="18">
        <v>1392731.6500000001</v>
      </c>
      <c r="F18" s="39">
        <v>916</v>
      </c>
      <c r="G18" s="18">
        <f t="shared" si="2"/>
        <v>217.20705708047413</v>
      </c>
    </row>
    <row r="19" spans="1:7" ht="12.75">
      <c r="A19" s="22">
        <f t="shared" si="1"/>
        <v>45066</v>
      </c>
      <c r="B19" s="18">
        <v>20023214.880000003</v>
      </c>
      <c r="C19" s="18">
        <v>146563.16999999998</v>
      </c>
      <c r="D19" s="18">
        <f t="shared" si="3"/>
        <v>18353056.630000003</v>
      </c>
      <c r="E19" s="18">
        <v>1523595.08</v>
      </c>
      <c r="F19" s="39">
        <v>917</v>
      </c>
      <c r="G19" s="18">
        <f t="shared" si="2"/>
        <v>237.35707742639042</v>
      </c>
    </row>
    <row r="20" spans="1:7" ht="12.75">
      <c r="A20" s="22">
        <f t="shared" si="1"/>
        <v>45073</v>
      </c>
      <c r="B20" s="18">
        <v>19788250.91</v>
      </c>
      <c r="C20" s="18">
        <v>255686.08999999997</v>
      </c>
      <c r="D20" s="18">
        <f t="shared" si="3"/>
        <v>18054003.82</v>
      </c>
      <c r="E20" s="18">
        <v>1478561.0000000002</v>
      </c>
      <c r="F20" s="39">
        <v>917</v>
      </c>
      <c r="G20" s="18">
        <f t="shared" si="2"/>
        <v>230.34133042529993</v>
      </c>
    </row>
    <row r="21" spans="1:7" ht="12.75">
      <c r="A21" s="22">
        <f t="shared" si="1"/>
        <v>45080</v>
      </c>
      <c r="B21" s="18">
        <v>21154759.26</v>
      </c>
      <c r="C21" s="18">
        <v>274769.9</v>
      </c>
      <c r="D21" s="18">
        <f t="shared" si="3"/>
        <v>19376291.71</v>
      </c>
      <c r="E21" s="18">
        <v>1503697.6500000004</v>
      </c>
      <c r="F21" s="39">
        <v>917</v>
      </c>
      <c r="G21" s="18">
        <f t="shared" si="2"/>
        <v>234.25730643402406</v>
      </c>
    </row>
    <row r="22" spans="1:7" ht="12.75">
      <c r="A22" s="22">
        <f t="shared" si="1"/>
        <v>45087</v>
      </c>
      <c r="B22" s="18">
        <v>20156829.24</v>
      </c>
      <c r="C22" s="18">
        <v>271186.56</v>
      </c>
      <c r="D22" s="18">
        <f t="shared" si="3"/>
        <v>18558119.63</v>
      </c>
      <c r="E22" s="18">
        <v>1327523.05</v>
      </c>
      <c r="F22" s="39">
        <v>917</v>
      </c>
      <c r="G22" s="18">
        <f t="shared" si="2"/>
        <v>206.81150490730644</v>
      </c>
    </row>
    <row r="23" spans="1:7" ht="12.75">
      <c r="A23" s="22">
        <f t="shared" si="1"/>
        <v>45094</v>
      </c>
      <c r="B23" s="18">
        <v>20345239.92</v>
      </c>
      <c r="C23" s="18">
        <v>122946.09999999999</v>
      </c>
      <c r="D23" s="18">
        <f t="shared" si="3"/>
        <v>18672187.41</v>
      </c>
      <c r="E23" s="18">
        <v>1550106.4100000001</v>
      </c>
      <c r="F23" s="39">
        <v>917</v>
      </c>
      <c r="G23" s="18">
        <f t="shared" si="2"/>
        <v>241.48721140364546</v>
      </c>
    </row>
    <row r="24" spans="1:7" ht="12.75">
      <c r="A24" s="22">
        <f t="shared" si="1"/>
        <v>45101</v>
      </c>
      <c r="B24" s="18">
        <v>19683428.479999997</v>
      </c>
      <c r="C24" s="18">
        <v>205337.09</v>
      </c>
      <c r="D24" s="18">
        <f t="shared" si="3"/>
        <v>17976614.99</v>
      </c>
      <c r="E24" s="18">
        <v>1501476.4000000001</v>
      </c>
      <c r="F24" s="39">
        <v>917</v>
      </c>
      <c r="G24" s="18">
        <f t="shared" si="2"/>
        <v>233.9112634366724</v>
      </c>
    </row>
    <row r="25" spans="1:7" ht="12.75">
      <c r="A25" s="22">
        <f t="shared" si="1"/>
        <v>45108</v>
      </c>
      <c r="B25" s="18">
        <v>20983645.89</v>
      </c>
      <c r="C25" s="18">
        <v>219632</v>
      </c>
      <c r="D25" s="18">
        <f t="shared" si="3"/>
        <v>19191889.04</v>
      </c>
      <c r="E25" s="18">
        <v>1572124.8499999996</v>
      </c>
      <c r="F25" s="39">
        <v>917</v>
      </c>
      <c r="G25" s="18">
        <f t="shared" si="2"/>
        <v>244.9174092537778</v>
      </c>
    </row>
    <row r="26" spans="1:7" ht="12.75">
      <c r="A26" s="22">
        <f t="shared" si="1"/>
        <v>45115</v>
      </c>
      <c r="B26" s="18">
        <v>24283866.31</v>
      </c>
      <c r="C26" s="18">
        <v>325946.47000000003</v>
      </c>
      <c r="D26" s="18">
        <f t="shared" si="3"/>
        <v>22183424.509999998</v>
      </c>
      <c r="E26" s="18">
        <v>1774495.33</v>
      </c>
      <c r="F26" s="39">
        <v>917</v>
      </c>
      <c r="G26" s="18">
        <f t="shared" si="2"/>
        <v>276.44420158903256</v>
      </c>
    </row>
    <row r="27" spans="1:7" ht="12.75">
      <c r="A27" s="22">
        <f t="shared" si="1"/>
        <v>45122</v>
      </c>
      <c r="B27" s="18">
        <v>20460546.63</v>
      </c>
      <c r="C27" s="18">
        <v>104554.97999999995</v>
      </c>
      <c r="D27" s="18">
        <f t="shared" si="3"/>
        <v>18869461.65</v>
      </c>
      <c r="E27" s="18">
        <v>1486529.9999999995</v>
      </c>
      <c r="F27" s="39">
        <v>916</v>
      </c>
      <c r="G27" s="18">
        <f t="shared" si="2"/>
        <v>231.83562071116648</v>
      </c>
    </row>
    <row r="28" spans="1:7" ht="12.75">
      <c r="A28" s="22">
        <f t="shared" si="1"/>
        <v>45129</v>
      </c>
      <c r="B28" s="18">
        <v>20990797.060000002</v>
      </c>
      <c r="C28" s="18">
        <v>221595.3</v>
      </c>
      <c r="D28" s="18">
        <f t="shared" si="3"/>
        <v>19244962.860000003</v>
      </c>
      <c r="E28" s="18">
        <v>1524238.8999999994</v>
      </c>
      <c r="F28" s="39">
        <v>917</v>
      </c>
      <c r="G28" s="18">
        <f t="shared" si="2"/>
        <v>237.45737653840155</v>
      </c>
    </row>
    <row r="29" spans="1:7" ht="12.75">
      <c r="A29" s="22">
        <f t="shared" si="1"/>
        <v>45136</v>
      </c>
      <c r="B29" s="18">
        <v>21827687.7</v>
      </c>
      <c r="C29" s="18">
        <v>248263.84</v>
      </c>
      <c r="D29" s="18">
        <f t="shared" si="3"/>
        <v>20071392.91</v>
      </c>
      <c r="E29" s="18">
        <v>1508030.9500000002</v>
      </c>
      <c r="F29" s="39">
        <v>917</v>
      </c>
      <c r="G29" s="18">
        <f t="shared" si="2"/>
        <v>234.9323804330893</v>
      </c>
    </row>
    <row r="30" spans="1:7" ht="12.75">
      <c r="A30" s="22">
        <f t="shared" si="1"/>
        <v>45143</v>
      </c>
      <c r="B30" s="18">
        <v>22025283.369999997</v>
      </c>
      <c r="C30" s="18">
        <v>256842.87</v>
      </c>
      <c r="D30" s="18">
        <f t="shared" si="3"/>
        <v>20145494.539999995</v>
      </c>
      <c r="E30" s="18">
        <v>1622945.9600000007</v>
      </c>
      <c r="F30" s="39">
        <v>917</v>
      </c>
      <c r="G30" s="18">
        <f t="shared" si="2"/>
        <v>252.83470322480147</v>
      </c>
    </row>
    <row r="31" spans="1:7" ht="12.75">
      <c r="A31" s="22">
        <f t="shared" si="1"/>
        <v>45150</v>
      </c>
      <c r="B31" s="18">
        <v>14976829.930000002</v>
      </c>
      <c r="C31" s="18">
        <v>87366.35999999999</v>
      </c>
      <c r="D31" s="18">
        <f t="shared" si="3"/>
        <v>13706292.640000002</v>
      </c>
      <c r="E31" s="18">
        <v>1183170.9299999997</v>
      </c>
      <c r="F31" s="39">
        <v>917</v>
      </c>
      <c r="G31" s="18">
        <f t="shared" si="2"/>
        <v>184.32324816949676</v>
      </c>
    </row>
    <row r="32" spans="1:7" ht="12.75">
      <c r="A32" s="22">
        <f t="shared" si="1"/>
        <v>45157</v>
      </c>
      <c r="B32" s="18">
        <v>14682428.450000001</v>
      </c>
      <c r="C32" s="18">
        <v>202910.52</v>
      </c>
      <c r="D32" s="18">
        <f t="shared" si="3"/>
        <v>13444899.210000003</v>
      </c>
      <c r="E32" s="18">
        <v>1034618.7199999995</v>
      </c>
      <c r="F32" s="39">
        <v>917</v>
      </c>
      <c r="G32" s="18">
        <f t="shared" si="2"/>
        <v>161.18066988627507</v>
      </c>
    </row>
    <row r="33" spans="1:7" ht="12.75">
      <c r="A33" s="22">
        <f t="shared" si="1"/>
        <v>45164</v>
      </c>
      <c r="B33" s="18">
        <v>20506077.630000003</v>
      </c>
      <c r="C33" s="18">
        <v>251252.49</v>
      </c>
      <c r="D33" s="18">
        <f t="shared" si="3"/>
        <v>18801280.370000005</v>
      </c>
      <c r="E33" s="18">
        <v>1453544.77</v>
      </c>
      <c r="F33" s="39">
        <v>917</v>
      </c>
      <c r="G33" s="18">
        <f t="shared" si="2"/>
        <v>226.44411434802927</v>
      </c>
    </row>
    <row r="34" spans="1:7" ht="12.75">
      <c r="A34" s="22">
        <f t="shared" si="1"/>
        <v>45171</v>
      </c>
      <c r="B34" s="18">
        <v>19555563.69</v>
      </c>
      <c r="C34" s="18">
        <v>215878.98</v>
      </c>
      <c r="D34" s="18">
        <f t="shared" si="3"/>
        <v>17915131.61</v>
      </c>
      <c r="E34" s="18">
        <v>1424553.0999999999</v>
      </c>
      <c r="F34" s="39">
        <v>917</v>
      </c>
      <c r="G34" s="18">
        <f t="shared" si="2"/>
        <v>221.927574388534</v>
      </c>
    </row>
    <row r="35" spans="1:7" ht="12.75">
      <c r="A35" s="22">
        <f t="shared" si="1"/>
        <v>45178</v>
      </c>
      <c r="B35" s="18">
        <v>21142504.32</v>
      </c>
      <c r="C35" s="18">
        <v>279802.09</v>
      </c>
      <c r="D35" s="18">
        <f t="shared" si="3"/>
        <v>19327389.34</v>
      </c>
      <c r="E35" s="18">
        <v>1535312.8899999997</v>
      </c>
      <c r="F35" s="39">
        <v>917</v>
      </c>
      <c r="G35" s="18">
        <f t="shared" si="2"/>
        <v>239.18256582022119</v>
      </c>
    </row>
    <row r="36" spans="1:7" ht="12.75">
      <c r="A36" s="22">
        <f t="shared" si="1"/>
        <v>45185</v>
      </c>
      <c r="B36" s="18">
        <v>18391348.689999998</v>
      </c>
      <c r="C36" s="18">
        <v>131685.81</v>
      </c>
      <c r="D36" s="18">
        <f t="shared" si="0"/>
        <v>16677282.78</v>
      </c>
      <c r="E36" s="18">
        <v>1582380.1</v>
      </c>
      <c r="F36" s="39">
        <v>917</v>
      </c>
      <c r="G36" s="18">
        <f t="shared" si="2"/>
        <v>246.51504907306435</v>
      </c>
    </row>
    <row r="37" spans="1:7" ht="12.75">
      <c r="A37" s="22">
        <f t="shared" si="1"/>
        <v>45192</v>
      </c>
      <c r="B37" s="18">
        <v>17614194.189999998</v>
      </c>
      <c r="C37" s="18">
        <v>214959.59</v>
      </c>
      <c r="D37" s="18">
        <f t="shared" si="0"/>
        <v>16033516.559999997</v>
      </c>
      <c r="E37" s="18">
        <v>1365718.0400000003</v>
      </c>
      <c r="F37" s="39">
        <v>917</v>
      </c>
      <c r="G37" s="18">
        <f t="shared" si="2"/>
        <v>212.7618071350678</v>
      </c>
    </row>
    <row r="38" spans="1:7" ht="12.75">
      <c r="A38" s="22">
        <f t="shared" si="1"/>
        <v>45199</v>
      </c>
      <c r="B38" s="18">
        <v>19714044.98</v>
      </c>
      <c r="C38" s="18">
        <v>238919.49000000002</v>
      </c>
      <c r="D38" s="18">
        <f t="shared" si="0"/>
        <v>18095758.080000002</v>
      </c>
      <c r="E38" s="18">
        <v>1379367.4099999997</v>
      </c>
      <c r="F38" s="39">
        <v>917</v>
      </c>
      <c r="G38" s="18">
        <f t="shared" si="2"/>
        <v>214.88820844368277</v>
      </c>
    </row>
    <row r="39" spans="1:7" ht="12.75">
      <c r="A39" s="22">
        <f t="shared" si="1"/>
        <v>45206</v>
      </c>
      <c r="B39" s="40">
        <v>19833131.53</v>
      </c>
      <c r="C39" s="40">
        <v>248522.62999999998</v>
      </c>
      <c r="D39" s="18">
        <f t="shared" si="0"/>
        <v>18158048.160000004</v>
      </c>
      <c r="E39" s="40">
        <v>1426560.7399999993</v>
      </c>
      <c r="F39" s="39">
        <v>917</v>
      </c>
      <c r="G39" s="18">
        <f t="shared" si="2"/>
        <v>222.24033961676264</v>
      </c>
    </row>
    <row r="40" spans="1:7" ht="12.75">
      <c r="A40" s="22">
        <f t="shared" si="1"/>
        <v>45213</v>
      </c>
      <c r="B40" s="18">
        <v>18594643.53</v>
      </c>
      <c r="C40" s="18">
        <v>194976.57000000004</v>
      </c>
      <c r="D40" s="18">
        <f t="shared" si="0"/>
        <v>17060378.92</v>
      </c>
      <c r="E40" s="18">
        <v>1339288.0399999993</v>
      </c>
      <c r="F40" s="39">
        <v>917</v>
      </c>
      <c r="G40" s="18">
        <f t="shared" si="2"/>
        <v>208.64434335566278</v>
      </c>
    </row>
    <row r="41" spans="1:7" ht="12.75">
      <c r="A41" s="22">
        <f t="shared" si="1"/>
        <v>45220</v>
      </c>
      <c r="B41" s="18">
        <v>19010436.55</v>
      </c>
      <c r="C41" s="18">
        <v>67113.57</v>
      </c>
      <c r="D41" s="18">
        <f t="shared" si="0"/>
        <v>17407279.14</v>
      </c>
      <c r="E41" s="18">
        <v>1536043.8399999999</v>
      </c>
      <c r="F41" s="39">
        <v>917</v>
      </c>
      <c r="G41" s="18">
        <f t="shared" si="2"/>
        <v>239.29643869761642</v>
      </c>
    </row>
    <row r="42" spans="1:7" ht="12.75">
      <c r="A42" s="22">
        <f t="shared" si="1"/>
        <v>45227</v>
      </c>
      <c r="B42" s="18">
        <v>17399088.32</v>
      </c>
      <c r="C42" s="41">
        <v>194587.14</v>
      </c>
      <c r="D42" s="18">
        <f t="shared" si="0"/>
        <v>15904300.809999999</v>
      </c>
      <c r="E42" s="18">
        <v>1300200.3700000006</v>
      </c>
      <c r="F42" s="39">
        <v>917</v>
      </c>
      <c r="G42" s="18">
        <f t="shared" si="2"/>
        <v>202.55497273718657</v>
      </c>
    </row>
    <row r="43" spans="1:7" ht="12.75">
      <c r="A43" s="22">
        <f t="shared" si="1"/>
        <v>45234</v>
      </c>
      <c r="B43" s="18">
        <v>19122316.72</v>
      </c>
      <c r="C43" s="18">
        <v>234030.39</v>
      </c>
      <c r="D43" s="18">
        <f t="shared" si="0"/>
        <v>17549512.409999996</v>
      </c>
      <c r="E43" s="18">
        <v>1338773.92</v>
      </c>
      <c r="F43" s="39">
        <v>917</v>
      </c>
      <c r="G43" s="18">
        <f t="shared" si="2"/>
        <v>208.56424988315936</v>
      </c>
    </row>
    <row r="44" spans="1:7" ht="12.75">
      <c r="A44" s="22">
        <f t="shared" si="1"/>
        <v>45241</v>
      </c>
      <c r="B44" s="18">
        <v>21139499.039999995</v>
      </c>
      <c r="C44" s="18">
        <v>242748.31000000003</v>
      </c>
      <c r="D44" s="18">
        <f t="shared" si="0"/>
        <v>19378842.729999997</v>
      </c>
      <c r="E44" s="18">
        <v>1517908</v>
      </c>
      <c r="F44" s="39">
        <v>915</v>
      </c>
      <c r="G44" s="18">
        <f t="shared" si="2"/>
        <v>236.9879781420765</v>
      </c>
    </row>
    <row r="45" spans="1:7" ht="12.75">
      <c r="A45" s="22">
        <f t="shared" si="1"/>
        <v>45248</v>
      </c>
      <c r="B45" s="18">
        <v>18684007.68</v>
      </c>
      <c r="C45" s="41">
        <v>122400.47</v>
      </c>
      <c r="D45" s="18">
        <f t="shared" si="0"/>
        <v>17221310.73</v>
      </c>
      <c r="E45" s="18">
        <v>1340296.48</v>
      </c>
      <c r="F45" s="39">
        <v>913</v>
      </c>
      <c r="G45" s="18">
        <f t="shared" si="2"/>
        <v>209.71623846033484</v>
      </c>
    </row>
    <row r="46" spans="1:7" ht="12.75">
      <c r="A46" s="22">
        <f t="shared" si="1"/>
        <v>45255</v>
      </c>
      <c r="B46" s="18">
        <v>19149302.64</v>
      </c>
      <c r="C46" s="18">
        <v>255865.84000000003</v>
      </c>
      <c r="D46" s="18">
        <f t="shared" si="0"/>
        <v>17556680.18</v>
      </c>
      <c r="E46" s="18">
        <v>1336756.6199999996</v>
      </c>
      <c r="F46" s="39">
        <v>913</v>
      </c>
      <c r="G46" s="18">
        <f t="shared" si="2"/>
        <v>209.1623564387419</v>
      </c>
    </row>
    <row r="47" spans="1:7" ht="12.75">
      <c r="A47" s="22">
        <f t="shared" si="1"/>
        <v>45262</v>
      </c>
      <c r="B47" s="18">
        <v>17586622.38</v>
      </c>
      <c r="C47" s="18">
        <v>205526.74</v>
      </c>
      <c r="D47" s="18">
        <f t="shared" si="0"/>
        <v>16048870.000000002</v>
      </c>
      <c r="E47" s="18">
        <v>1332225.6399999994</v>
      </c>
      <c r="F47" s="39">
        <v>913</v>
      </c>
      <c r="G47" s="18">
        <f t="shared" si="2"/>
        <v>208.4533938350805</v>
      </c>
    </row>
    <row r="48" spans="1:7" ht="12.75">
      <c r="A48" s="22">
        <f t="shared" si="1"/>
        <v>45269</v>
      </c>
      <c r="B48" s="18">
        <v>19724352.1</v>
      </c>
      <c r="C48" s="18">
        <v>224976.94999999995</v>
      </c>
      <c r="D48" s="18">
        <f t="shared" si="0"/>
        <v>18004070.230000004</v>
      </c>
      <c r="E48" s="18">
        <v>1495304.9199999995</v>
      </c>
      <c r="F48" s="39">
        <v>913</v>
      </c>
      <c r="G48" s="18">
        <f t="shared" si="2"/>
        <v>233.9704146455953</v>
      </c>
    </row>
    <row r="49" spans="1:7" ht="12.75">
      <c r="A49" s="22">
        <f t="shared" si="1"/>
        <v>45276</v>
      </c>
      <c r="B49" s="18">
        <v>16782928.82</v>
      </c>
      <c r="C49" s="18">
        <v>88421.16</v>
      </c>
      <c r="D49" s="18">
        <f t="shared" si="0"/>
        <v>15386242.89</v>
      </c>
      <c r="E49" s="18">
        <v>1308264.7699999998</v>
      </c>
      <c r="F49" s="39">
        <v>913</v>
      </c>
      <c r="G49" s="18">
        <f t="shared" si="2"/>
        <v>204.70423564387417</v>
      </c>
    </row>
    <row r="50" spans="1:7" ht="12.75">
      <c r="A50" s="22">
        <f t="shared" si="1"/>
        <v>45283</v>
      </c>
      <c r="B50" s="18">
        <v>17687632.71</v>
      </c>
      <c r="C50" s="18">
        <v>188170.02</v>
      </c>
      <c r="D50" s="18">
        <f t="shared" si="0"/>
        <v>16241457.370000001</v>
      </c>
      <c r="E50" s="18">
        <v>1258005.32</v>
      </c>
      <c r="F50" s="39">
        <v>913</v>
      </c>
      <c r="G50" s="18">
        <f t="shared" si="2"/>
        <v>196.84013769363168</v>
      </c>
    </row>
    <row r="51" spans="1:7" ht="12.75">
      <c r="A51" s="22">
        <f t="shared" si="1"/>
        <v>45290</v>
      </c>
      <c r="B51" s="18">
        <v>21792646.35</v>
      </c>
      <c r="C51" s="18">
        <v>253178.81999999998</v>
      </c>
      <c r="D51" s="18">
        <f t="shared" si="0"/>
        <v>19895270.900000002</v>
      </c>
      <c r="E51" s="18">
        <v>1644196.6299999994</v>
      </c>
      <c r="F51" s="39">
        <v>913</v>
      </c>
      <c r="G51" s="18">
        <f t="shared" si="2"/>
        <v>257.26750586762626</v>
      </c>
    </row>
    <row r="52" spans="1:7" ht="12.75">
      <c r="A52" s="22">
        <f t="shared" si="1"/>
        <v>45297</v>
      </c>
      <c r="B52" s="18">
        <v>21135385.279999997</v>
      </c>
      <c r="C52" s="18">
        <v>298371.95999999996</v>
      </c>
      <c r="D52" s="18">
        <f t="shared" si="0"/>
        <v>19390260.029999997</v>
      </c>
      <c r="E52" s="18">
        <v>1446753.2899999998</v>
      </c>
      <c r="F52" s="39">
        <v>913</v>
      </c>
      <c r="G52" s="18">
        <f t="shared" si="2"/>
        <v>226.373539352214</v>
      </c>
    </row>
    <row r="53" spans="1:7" ht="12.75">
      <c r="A53" s="22">
        <f t="shared" si="1"/>
        <v>45304</v>
      </c>
      <c r="B53" s="18">
        <v>14724438.98</v>
      </c>
      <c r="C53" s="18">
        <v>212375.88999999998</v>
      </c>
      <c r="D53" s="18">
        <f t="shared" si="0"/>
        <v>13546672.54</v>
      </c>
      <c r="E53" s="18">
        <v>965390.5499999999</v>
      </c>
      <c r="F53" s="39">
        <v>913</v>
      </c>
      <c r="G53" s="18">
        <f t="shared" si="2"/>
        <v>151.05469410107963</v>
      </c>
    </row>
    <row r="54" spans="1:7" ht="12.75">
      <c r="A54" s="22">
        <f t="shared" si="1"/>
        <v>45311</v>
      </c>
      <c r="B54" s="18">
        <v>11980233.610000001</v>
      </c>
      <c r="C54" s="18">
        <v>138120.93</v>
      </c>
      <c r="D54" s="18">
        <f t="shared" si="0"/>
        <v>11010936.8</v>
      </c>
      <c r="E54" s="18">
        <v>831175.8799999999</v>
      </c>
      <c r="F54" s="39">
        <v>913</v>
      </c>
      <c r="G54" s="18">
        <f t="shared" si="2"/>
        <v>130.05411985604755</v>
      </c>
    </row>
    <row r="55" spans="1:7" ht="12.75">
      <c r="A55" s="22">
        <f t="shared" si="1"/>
        <v>45318</v>
      </c>
      <c r="B55" s="18">
        <v>19972741.950000003</v>
      </c>
      <c r="C55" s="18">
        <v>268375.39999999997</v>
      </c>
      <c r="D55" s="18">
        <f t="shared" si="0"/>
        <v>18261239.990000006</v>
      </c>
      <c r="E55" s="18">
        <v>1443126.5599999998</v>
      </c>
      <c r="F55" s="39">
        <v>913</v>
      </c>
      <c r="G55" s="18">
        <f t="shared" si="2"/>
        <v>225.80606477859487</v>
      </c>
    </row>
    <row r="56" spans="1:7" ht="12.75">
      <c r="A56" s="22">
        <f t="shared" si="1"/>
        <v>45325</v>
      </c>
      <c r="B56" s="18">
        <v>22062606.35</v>
      </c>
      <c r="C56" s="18">
        <v>264817.01999999996</v>
      </c>
      <c r="D56" s="18">
        <f t="shared" si="0"/>
        <v>20196782.91</v>
      </c>
      <c r="E56" s="18">
        <v>1601006.4200000004</v>
      </c>
      <c r="F56" s="39">
        <v>913</v>
      </c>
      <c r="G56" s="18">
        <f t="shared" si="2"/>
        <v>250.50953215459248</v>
      </c>
    </row>
    <row r="57" spans="1:7" ht="12.75">
      <c r="A57" s="22">
        <f t="shared" si="1"/>
        <v>45332</v>
      </c>
      <c r="B57" s="18">
        <v>20404550.94</v>
      </c>
      <c r="C57" s="18">
        <v>252916.86</v>
      </c>
      <c r="D57" s="18">
        <f t="shared" si="0"/>
        <v>18616462.770000003</v>
      </c>
      <c r="E57" s="18">
        <v>1535171.31</v>
      </c>
      <c r="F57" s="39">
        <v>913</v>
      </c>
      <c r="G57" s="18">
        <f t="shared" si="2"/>
        <v>240.2083101236113</v>
      </c>
    </row>
    <row r="58" spans="1:7" ht="12.75">
      <c r="A58" s="22">
        <f t="shared" si="1"/>
        <v>45339</v>
      </c>
      <c r="B58" s="18">
        <v>20563287.400000002</v>
      </c>
      <c r="C58" s="18">
        <v>149444.02000000002</v>
      </c>
      <c r="D58" s="18">
        <f t="shared" si="0"/>
        <v>18747434.64</v>
      </c>
      <c r="E58" s="18">
        <v>1666408.7400000005</v>
      </c>
      <c r="F58" s="39">
        <v>913</v>
      </c>
      <c r="G58" s="18">
        <f t="shared" si="2"/>
        <v>260.74303551869826</v>
      </c>
    </row>
    <row r="59" spans="1:7" ht="12.75">
      <c r="A59" s="22">
        <f t="shared" si="1"/>
        <v>45346</v>
      </c>
      <c r="B59" s="18">
        <v>23348815.6</v>
      </c>
      <c r="C59" s="18">
        <v>312825.14</v>
      </c>
      <c r="D59" s="18">
        <f t="shared" si="0"/>
        <v>21426882.650000002</v>
      </c>
      <c r="E59" s="18">
        <v>1609107.81</v>
      </c>
      <c r="F59" s="39">
        <v>913</v>
      </c>
      <c r="G59" s="18">
        <f t="shared" si="2"/>
        <v>251.7771569394461</v>
      </c>
    </row>
    <row r="60" spans="1:7" ht="12.75">
      <c r="A60" s="22">
        <f t="shared" si="1"/>
        <v>45353</v>
      </c>
      <c r="B60" s="18">
        <v>22365277.61</v>
      </c>
      <c r="C60" s="18">
        <v>287063.57</v>
      </c>
      <c r="D60" s="18">
        <f t="shared" si="0"/>
        <v>20528880.07</v>
      </c>
      <c r="E60" s="18">
        <v>1549333.9700000002</v>
      </c>
      <c r="F60" s="39">
        <v>913</v>
      </c>
      <c r="G60" s="18">
        <f t="shared" si="2"/>
        <v>242.42434204349868</v>
      </c>
    </row>
    <row r="61" spans="1:7" ht="12.75">
      <c r="A61" s="22">
        <f t="shared" si="1"/>
        <v>45360</v>
      </c>
      <c r="B61" s="18">
        <v>21888191.3</v>
      </c>
      <c r="C61" s="18">
        <v>308520.69</v>
      </c>
      <c r="D61" s="18">
        <f t="shared" si="0"/>
        <v>19965934.16</v>
      </c>
      <c r="E61" s="18">
        <v>1613736.4499999997</v>
      </c>
      <c r="F61" s="39">
        <v>913</v>
      </c>
      <c r="G61" s="18">
        <f t="shared" si="2"/>
        <v>252.50140040682206</v>
      </c>
    </row>
    <row r="62" spans="1:7" ht="12.75">
      <c r="A62" s="22">
        <f t="shared" si="1"/>
        <v>45367</v>
      </c>
      <c r="B62" s="18">
        <v>21296056.11</v>
      </c>
      <c r="C62" s="18">
        <v>304320.49</v>
      </c>
      <c r="D62" s="18">
        <f t="shared" si="0"/>
        <v>19456069.48</v>
      </c>
      <c r="E62" s="18">
        <v>1535666.14</v>
      </c>
      <c r="F62" s="39">
        <v>913</v>
      </c>
      <c r="G62" s="18">
        <f t="shared" si="2"/>
        <v>240.2857361915193</v>
      </c>
    </row>
    <row r="63" spans="1:7" ht="12.75">
      <c r="A63" s="22">
        <f t="shared" si="1"/>
        <v>45374</v>
      </c>
      <c r="B63" s="18">
        <v>21121968.82</v>
      </c>
      <c r="C63" s="18">
        <v>113150.67000000004</v>
      </c>
      <c r="D63" s="18">
        <f t="shared" si="0"/>
        <v>19368093.58</v>
      </c>
      <c r="E63" s="18">
        <v>1640724.5699999998</v>
      </c>
      <c r="F63" s="39">
        <v>913</v>
      </c>
      <c r="G63" s="18">
        <f t="shared" si="2"/>
        <v>256.72423251447344</v>
      </c>
    </row>
    <row r="64" spans="2:7" ht="12.75">
      <c r="B64" s="18"/>
      <c r="C64" s="18"/>
      <c r="D64" s="18"/>
      <c r="E64" s="18"/>
      <c r="F64" s="39"/>
      <c r="G64" s="18"/>
    </row>
    <row r="65" ht="12.75">
      <c r="G65" s="15">
        <f>_xlfn.IFERROR((E65/F65/7),"")</f>
      </c>
    </row>
    <row r="66" spans="1:7" ht="13.5" thickBot="1">
      <c r="A66" s="22" t="s">
        <v>8</v>
      </c>
      <c r="B66" s="17">
        <f>IF(SUM(B12:B65)=0,"",SUM(B12:B65))</f>
        <v>1030907228.2100002</v>
      </c>
      <c r="C66" s="17">
        <f>IF(SUM(C12:C65)=0,"",SUM(C12:C65))</f>
        <v>11147471.209999999</v>
      </c>
      <c r="D66" s="17">
        <f>IF(SUM(D12:D65)=0,"",SUM(D12:D65))</f>
        <v>943806022.3999997</v>
      </c>
      <c r="E66" s="17">
        <f>IF(SUM(E12:E65)=0,"",SUM(E12:E65))</f>
        <v>75953734.6</v>
      </c>
      <c r="F66" s="24">
        <f>_xlfn.IFERROR(SUM(F12:F65)/COUNT(F12:F65)," ")</f>
        <v>916.9423076923077</v>
      </c>
      <c r="G66" s="17">
        <f>_xlfn.IFERROR(E66/SUM(F12:F65)/7," ")</f>
        <v>227.56514155084233</v>
      </c>
    </row>
    <row r="67" spans="1:5" s="21" customFormat="1" ht="13.5" thickTop="1">
      <c r="A67" s="22"/>
      <c r="B67" s="20"/>
      <c r="C67" s="20"/>
      <c r="D67" s="20"/>
      <c r="E67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pane ySplit="11" topLeftCell="A66" activePane="bottomLeft" state="frozen"/>
      <selection pane="topLeft" activeCell="A1" sqref="A1"/>
      <selection pane="bottomLeft" activeCell="A69" sqref="A69"/>
    </sheetView>
  </sheetViews>
  <sheetFormatPr defaultColWidth="9.140625" defaultRowHeight="12.75"/>
  <cols>
    <col min="1" max="1" width="17.57421875" style="22" customWidth="1"/>
    <col min="2" max="2" width="15.7109375" style="15" customWidth="1"/>
    <col min="3" max="3" width="18.57421875" style="15" customWidth="1"/>
    <col min="4" max="4" width="16.8515625" style="15" customWidth="1"/>
    <col min="5" max="5" width="13.421875" style="16" customWidth="1"/>
    <col min="6" max="6" width="13.7109375" style="15" customWidth="1"/>
  </cols>
  <sheetData>
    <row r="1" spans="1:9" s="26" customFormat="1" ht="18">
      <c r="A1" s="42" t="s">
        <v>18</v>
      </c>
      <c r="B1" s="42"/>
      <c r="C1" s="42"/>
      <c r="D1" s="42"/>
      <c r="E1" s="42"/>
      <c r="F1" s="42"/>
      <c r="G1" s="28"/>
      <c r="H1" s="28"/>
      <c r="I1" s="28"/>
    </row>
    <row r="2" spans="1:9" s="26" customFormat="1" ht="15">
      <c r="A2" s="43" t="s">
        <v>19</v>
      </c>
      <c r="B2" s="43"/>
      <c r="C2" s="43"/>
      <c r="D2" s="43"/>
      <c r="E2" s="43"/>
      <c r="F2" s="43"/>
      <c r="G2" s="29"/>
      <c r="H2" s="29"/>
      <c r="I2" s="29"/>
    </row>
    <row r="3" spans="1:9" s="27" customFormat="1" ht="15">
      <c r="A3" s="43" t="s">
        <v>20</v>
      </c>
      <c r="B3" s="43"/>
      <c r="C3" s="43"/>
      <c r="D3" s="43"/>
      <c r="E3" s="43"/>
      <c r="F3" s="43"/>
      <c r="G3" s="29"/>
      <c r="H3" s="29"/>
      <c r="I3" s="29"/>
    </row>
    <row r="4" spans="1:9" s="27" customFormat="1" ht="14.25">
      <c r="A4" s="44" t="s">
        <v>21</v>
      </c>
      <c r="B4" s="44"/>
      <c r="C4" s="44"/>
      <c r="D4" s="44"/>
      <c r="E4" s="44"/>
      <c r="F4" s="44"/>
      <c r="G4" s="30"/>
      <c r="H4" s="30"/>
      <c r="I4" s="30"/>
    </row>
    <row r="5" spans="1:9" s="27" customFormat="1" ht="14.25">
      <c r="A5" s="45" t="s">
        <v>22</v>
      </c>
      <c r="B5" s="45"/>
      <c r="C5" s="45"/>
      <c r="D5" s="45"/>
      <c r="E5" s="45"/>
      <c r="F5" s="45"/>
      <c r="G5" s="31"/>
      <c r="H5" s="31"/>
      <c r="I5" s="31"/>
    </row>
    <row r="6" spans="1:6" s="1" customFormat="1" ht="14.25">
      <c r="A6" s="33"/>
      <c r="B6" s="2"/>
      <c r="C6" s="2"/>
      <c r="D6" s="2"/>
      <c r="E6" s="2"/>
      <c r="F6" s="2"/>
    </row>
    <row r="7" spans="1:6" s="1" customFormat="1" ht="12.75">
      <c r="A7" s="22"/>
      <c r="B7" s="4"/>
      <c r="C7" s="4"/>
      <c r="D7" s="5"/>
      <c r="E7" s="6"/>
      <c r="F7" s="5"/>
    </row>
    <row r="8" spans="1:6" s="7" customFormat="1" ht="14.25" customHeight="1">
      <c r="A8" s="46" t="s">
        <v>12</v>
      </c>
      <c r="B8" s="47"/>
      <c r="C8" s="47"/>
      <c r="D8" s="47"/>
      <c r="E8" s="47"/>
      <c r="F8" s="48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2">
      <c r="A10" s="34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35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38444</v>
      </c>
      <c r="B13" s="15">
        <v>9547039.780000001</v>
      </c>
      <c r="C13" s="15">
        <f aca="true" t="shared" si="0" ref="C13:C19">+B13-D13</f>
        <v>8702434.4</v>
      </c>
      <c r="D13" s="15">
        <v>844605.38</v>
      </c>
      <c r="E13" s="16">
        <v>990</v>
      </c>
      <c r="F13" s="15">
        <v>121.87667821067821</v>
      </c>
    </row>
    <row r="14" spans="1:6" ht="12.75">
      <c r="A14" s="22">
        <v>38451</v>
      </c>
      <c r="B14" s="15">
        <v>9434341.149999999</v>
      </c>
      <c r="C14" s="15">
        <f t="shared" si="0"/>
        <v>8614511.329999998</v>
      </c>
      <c r="D14" s="15">
        <v>819829.82</v>
      </c>
      <c r="E14" s="16">
        <v>990</v>
      </c>
      <c r="F14" s="15">
        <v>118.30156132756133</v>
      </c>
    </row>
    <row r="15" spans="1:6" ht="12.75">
      <c r="A15" s="22">
        <v>38458</v>
      </c>
      <c r="B15" s="15">
        <v>9521099.09</v>
      </c>
      <c r="C15" s="15">
        <f t="shared" si="0"/>
        <v>8698032.02</v>
      </c>
      <c r="D15" s="15">
        <v>823067.07</v>
      </c>
      <c r="E15" s="16">
        <v>990</v>
      </c>
      <c r="F15" s="15">
        <v>118.76869696969698</v>
      </c>
    </row>
    <row r="16" spans="1:6" ht="12.75">
      <c r="A16" s="22">
        <v>38465</v>
      </c>
      <c r="B16" s="15">
        <v>10452643.05</v>
      </c>
      <c r="C16" s="15">
        <f t="shared" si="0"/>
        <v>9621395.08</v>
      </c>
      <c r="D16" s="15">
        <v>831247.97</v>
      </c>
      <c r="E16" s="16">
        <v>990</v>
      </c>
      <c r="F16" s="15">
        <v>119.94920202020204</v>
      </c>
    </row>
    <row r="17" spans="1:6" ht="12.75">
      <c r="A17" s="22">
        <v>38472</v>
      </c>
      <c r="B17" s="15">
        <v>9524620.129999999</v>
      </c>
      <c r="C17" s="15">
        <f t="shared" si="0"/>
        <v>8701145.53</v>
      </c>
      <c r="D17" s="15">
        <v>823474.6</v>
      </c>
      <c r="E17" s="16">
        <v>990</v>
      </c>
      <c r="F17" s="15">
        <v>118.8275036075036</v>
      </c>
    </row>
    <row r="18" spans="1:6" ht="12.75">
      <c r="A18" s="22">
        <v>38479</v>
      </c>
      <c r="B18" s="15">
        <v>9087088.94</v>
      </c>
      <c r="C18" s="15">
        <f t="shared" si="0"/>
        <v>8343222.3</v>
      </c>
      <c r="D18" s="15">
        <v>743866.64</v>
      </c>
      <c r="E18" s="16">
        <v>990</v>
      </c>
      <c r="F18" s="15">
        <v>107.3400634920635</v>
      </c>
    </row>
    <row r="19" spans="1:6" ht="12.75">
      <c r="A19" s="22">
        <v>38486</v>
      </c>
      <c r="B19" s="15">
        <v>9423129.41</v>
      </c>
      <c r="C19" s="15">
        <f t="shared" si="0"/>
        <v>8599914.41</v>
      </c>
      <c r="D19" s="15">
        <v>823215</v>
      </c>
      <c r="E19" s="16">
        <v>990</v>
      </c>
      <c r="F19" s="15">
        <v>118.79004329004329</v>
      </c>
    </row>
    <row r="20" spans="1:6" ht="12.75">
      <c r="A20" s="22">
        <v>38493</v>
      </c>
      <c r="B20" s="15">
        <v>8603439.74</v>
      </c>
      <c r="C20" s="15">
        <f>+B20-D20</f>
        <v>7901265.82</v>
      </c>
      <c r="D20" s="15">
        <v>702173.92</v>
      </c>
      <c r="E20" s="16">
        <v>990</v>
      </c>
      <c r="F20" s="15">
        <v>101.32379797979797</v>
      </c>
    </row>
    <row r="21" spans="1:6" ht="12.75">
      <c r="A21" s="22">
        <v>38500</v>
      </c>
      <c r="B21" s="15">
        <v>8487020.57</v>
      </c>
      <c r="C21" s="15">
        <f aca="true" t="shared" si="1" ref="C21:C65">+B21-D21</f>
        <v>7773379.95</v>
      </c>
      <c r="D21" s="15">
        <v>713640.62</v>
      </c>
      <c r="E21" s="16">
        <v>990</v>
      </c>
      <c r="F21" s="15">
        <v>102.97844444444445</v>
      </c>
    </row>
    <row r="22" spans="1:6" ht="12.75">
      <c r="A22" s="22">
        <v>38507</v>
      </c>
      <c r="B22" s="15">
        <v>8845203.29</v>
      </c>
      <c r="C22" s="15">
        <f t="shared" si="1"/>
        <v>8085399.319999999</v>
      </c>
      <c r="D22" s="15">
        <v>759803.97</v>
      </c>
      <c r="E22" s="16">
        <v>990</v>
      </c>
      <c r="F22" s="15">
        <v>109.63982251082251</v>
      </c>
    </row>
    <row r="23" spans="1:6" ht="12.75">
      <c r="A23" s="22">
        <v>38514</v>
      </c>
      <c r="B23" s="15">
        <v>8746278.12</v>
      </c>
      <c r="C23" s="15">
        <f t="shared" si="1"/>
        <v>7975372.589999999</v>
      </c>
      <c r="D23" s="15">
        <v>770905.53</v>
      </c>
      <c r="E23" s="16">
        <v>990</v>
      </c>
      <c r="F23" s="15">
        <v>111.24177922077922</v>
      </c>
    </row>
    <row r="24" spans="1:6" ht="12.75">
      <c r="A24" s="22">
        <v>38521</v>
      </c>
      <c r="B24" s="15">
        <v>8858566.64</v>
      </c>
      <c r="C24" s="15">
        <f t="shared" si="1"/>
        <v>8076691.23</v>
      </c>
      <c r="D24" s="15">
        <v>781875.41</v>
      </c>
      <c r="E24" s="16">
        <v>990</v>
      </c>
      <c r="F24" s="15">
        <v>112.82473448773449</v>
      </c>
    </row>
    <row r="25" spans="1:6" ht="12.75">
      <c r="A25" s="22">
        <v>38528</v>
      </c>
      <c r="B25" s="15">
        <v>8660586.75</v>
      </c>
      <c r="C25" s="15">
        <f t="shared" si="1"/>
        <v>7883303.84</v>
      </c>
      <c r="D25" s="15">
        <v>777282.91</v>
      </c>
      <c r="E25" s="16">
        <v>990</v>
      </c>
      <c r="F25" s="15">
        <v>112.16203607503606</v>
      </c>
    </row>
    <row r="26" spans="1:6" ht="12.75">
      <c r="A26" s="22">
        <v>38535</v>
      </c>
      <c r="B26" s="15">
        <v>8065633.91</v>
      </c>
      <c r="C26" s="15">
        <f t="shared" si="1"/>
        <v>7333115.8100000005</v>
      </c>
      <c r="D26" s="15">
        <v>732518.1</v>
      </c>
      <c r="E26" s="16">
        <v>990</v>
      </c>
      <c r="F26" s="15">
        <v>105.70246753246752</v>
      </c>
    </row>
    <row r="27" spans="1:6" ht="12.75">
      <c r="A27" s="22">
        <v>38542</v>
      </c>
      <c r="B27" s="15">
        <v>9168272.41</v>
      </c>
      <c r="C27" s="15">
        <f t="shared" si="1"/>
        <v>8372177.98</v>
      </c>
      <c r="D27" s="15">
        <v>796094.43</v>
      </c>
      <c r="E27" s="16">
        <v>990</v>
      </c>
      <c r="F27" s="15">
        <v>114.87654112554114</v>
      </c>
    </row>
    <row r="28" spans="1:6" ht="12.75">
      <c r="A28" s="22">
        <v>38549</v>
      </c>
      <c r="B28" s="15">
        <v>8918622.370000001</v>
      </c>
      <c r="C28" s="15">
        <f t="shared" si="1"/>
        <v>8168655.040000001</v>
      </c>
      <c r="D28" s="15">
        <v>749967.33</v>
      </c>
      <c r="E28" s="16">
        <v>990</v>
      </c>
      <c r="F28" s="15">
        <v>108.22039393939393</v>
      </c>
    </row>
    <row r="29" spans="1:6" ht="12.75">
      <c r="A29" s="22">
        <v>38556</v>
      </c>
      <c r="B29" s="15">
        <v>9105331.39</v>
      </c>
      <c r="C29" s="15">
        <f t="shared" si="1"/>
        <v>8319463.720000001</v>
      </c>
      <c r="D29" s="15">
        <v>785867.67</v>
      </c>
      <c r="E29" s="16">
        <v>990</v>
      </c>
      <c r="F29" s="15">
        <v>113.40081818181818</v>
      </c>
    </row>
    <row r="30" spans="1:6" ht="12.75">
      <c r="A30" s="22">
        <v>38563</v>
      </c>
      <c r="B30" s="15">
        <v>9146783.25</v>
      </c>
      <c r="C30" s="15">
        <f t="shared" si="1"/>
        <v>8330675.45</v>
      </c>
      <c r="D30" s="15">
        <v>816107.8</v>
      </c>
      <c r="E30" s="16">
        <v>990</v>
      </c>
      <c r="F30" s="15">
        <v>117.76447330447331</v>
      </c>
    </row>
    <row r="31" spans="1:6" ht="12.75">
      <c r="A31" s="22">
        <v>38570</v>
      </c>
      <c r="B31" s="15">
        <v>8523788.18</v>
      </c>
      <c r="C31" s="15">
        <f t="shared" si="1"/>
        <v>7820023.38</v>
      </c>
      <c r="D31" s="15">
        <v>703764.8</v>
      </c>
      <c r="E31" s="16">
        <v>990</v>
      </c>
      <c r="F31" s="15">
        <v>101.5533621933622</v>
      </c>
    </row>
    <row r="32" spans="1:6" ht="12.75">
      <c r="A32" s="22">
        <v>38577</v>
      </c>
      <c r="B32" s="15">
        <v>6030298</v>
      </c>
      <c r="C32" s="15">
        <f t="shared" si="1"/>
        <v>5503906.11</v>
      </c>
      <c r="D32" s="15">
        <v>526391.89</v>
      </c>
      <c r="E32" s="16">
        <v>990</v>
      </c>
      <c r="F32" s="15">
        <v>75.95842568542567</v>
      </c>
    </row>
    <row r="33" spans="1:6" ht="12.75">
      <c r="A33" s="22">
        <v>38584</v>
      </c>
      <c r="B33" s="15">
        <v>6706554.44</v>
      </c>
      <c r="C33" s="15">
        <f t="shared" si="1"/>
        <v>6130664.550000001</v>
      </c>
      <c r="D33" s="15">
        <v>575889.89</v>
      </c>
      <c r="E33" s="16">
        <v>990</v>
      </c>
      <c r="F33" s="15">
        <v>83.1009942279942</v>
      </c>
    </row>
    <row r="34" spans="1:6" ht="12.75">
      <c r="A34" s="22">
        <v>38591</v>
      </c>
      <c r="B34" s="15">
        <v>8105747.46</v>
      </c>
      <c r="C34" s="15">
        <f t="shared" si="1"/>
        <v>7437089.67</v>
      </c>
      <c r="D34" s="15">
        <v>668657.79</v>
      </c>
      <c r="E34" s="16">
        <v>990</v>
      </c>
      <c r="F34" s="15">
        <v>96.48741558441557</v>
      </c>
    </row>
    <row r="35" spans="1:6" ht="12.75">
      <c r="A35" s="22">
        <v>38598</v>
      </c>
      <c r="B35" s="15">
        <v>8136780.15</v>
      </c>
      <c r="C35" s="15">
        <f t="shared" si="1"/>
        <v>7440263.08</v>
      </c>
      <c r="D35" s="15">
        <v>696517.07</v>
      </c>
      <c r="E35" s="16">
        <v>990</v>
      </c>
      <c r="F35" s="15">
        <v>100.5075137085137</v>
      </c>
    </row>
    <row r="36" spans="1:6" ht="12.75">
      <c r="A36" s="22">
        <v>38605</v>
      </c>
      <c r="B36" s="15">
        <v>9193548.1</v>
      </c>
      <c r="C36" s="15">
        <f t="shared" si="1"/>
        <v>8381369.859999999</v>
      </c>
      <c r="D36" s="15">
        <v>812178.24</v>
      </c>
      <c r="E36" s="16">
        <v>990</v>
      </c>
      <c r="F36" s="15">
        <v>117.19743722943723</v>
      </c>
    </row>
    <row r="37" spans="1:6" ht="12.75">
      <c r="A37" s="22">
        <v>38612</v>
      </c>
      <c r="B37" s="15">
        <v>8840360.66</v>
      </c>
      <c r="C37" s="15">
        <f t="shared" si="1"/>
        <v>8058905.53</v>
      </c>
      <c r="D37" s="15">
        <v>781455.13</v>
      </c>
      <c r="E37" s="16">
        <v>990</v>
      </c>
      <c r="F37" s="15">
        <v>112.76408802308802</v>
      </c>
    </row>
    <row r="38" spans="1:6" ht="12.75">
      <c r="A38" s="22">
        <v>38619</v>
      </c>
      <c r="B38" s="15">
        <v>7930236.08</v>
      </c>
      <c r="C38" s="15">
        <f t="shared" si="1"/>
        <v>7265602.67</v>
      </c>
      <c r="D38" s="15">
        <v>664633.41</v>
      </c>
      <c r="E38" s="16">
        <v>990</v>
      </c>
      <c r="F38" s="15">
        <v>95.90669696969698</v>
      </c>
    </row>
    <row r="39" spans="1:6" ht="12.75">
      <c r="A39" s="22">
        <v>38626</v>
      </c>
      <c r="B39" s="15">
        <v>8098813.750000001</v>
      </c>
      <c r="C39" s="15">
        <f t="shared" si="1"/>
        <v>7366853.690000001</v>
      </c>
      <c r="D39" s="15">
        <v>731960.06</v>
      </c>
      <c r="E39" s="16">
        <v>990</v>
      </c>
      <c r="F39" s="15">
        <v>105.62194227994229</v>
      </c>
    </row>
    <row r="40" spans="1:6" ht="12.75">
      <c r="A40" s="22">
        <v>38633</v>
      </c>
      <c r="B40" s="15">
        <v>8367365.350000001</v>
      </c>
      <c r="C40" s="15">
        <f t="shared" si="1"/>
        <v>7661460.28</v>
      </c>
      <c r="D40" s="15">
        <v>705905.07</v>
      </c>
      <c r="E40" s="16">
        <v>990</v>
      </c>
      <c r="F40" s="15">
        <v>101.86220346320347</v>
      </c>
    </row>
    <row r="41" spans="1:6" ht="12.75">
      <c r="A41" s="22">
        <v>38640</v>
      </c>
      <c r="B41" s="15">
        <v>8367201.25</v>
      </c>
      <c r="C41" s="15">
        <f t="shared" si="1"/>
        <v>7649158.43</v>
      </c>
      <c r="D41" s="15">
        <v>718042.82</v>
      </c>
      <c r="E41" s="16">
        <v>990</v>
      </c>
      <c r="F41" s="15">
        <v>103.61368253968254</v>
      </c>
    </row>
    <row r="42" spans="1:6" ht="12.75">
      <c r="A42" s="22">
        <v>38647</v>
      </c>
      <c r="B42" s="15">
        <v>8706248.36</v>
      </c>
      <c r="C42" s="15">
        <f t="shared" si="1"/>
        <v>7954085.129999999</v>
      </c>
      <c r="D42" s="15">
        <v>752163.23</v>
      </c>
      <c r="E42" s="16">
        <v>990</v>
      </c>
      <c r="F42" s="15">
        <v>108.53726262626262</v>
      </c>
    </row>
    <row r="43" spans="1:6" ht="12.75">
      <c r="A43" s="22">
        <v>38654</v>
      </c>
      <c r="B43" s="15">
        <v>8379777.14</v>
      </c>
      <c r="C43" s="15">
        <f t="shared" si="1"/>
        <v>7670269.26</v>
      </c>
      <c r="D43" s="15">
        <v>709507.88</v>
      </c>
      <c r="E43" s="16">
        <v>990</v>
      </c>
      <c r="F43" s="15">
        <v>102.38208946608947</v>
      </c>
    </row>
    <row r="44" spans="1:6" ht="12.75">
      <c r="A44" s="22">
        <v>38661</v>
      </c>
      <c r="B44" s="15">
        <v>9273936.65</v>
      </c>
      <c r="C44" s="15">
        <f t="shared" si="1"/>
        <v>8534345.940000001</v>
      </c>
      <c r="D44" s="15">
        <v>739590.71</v>
      </c>
      <c r="E44" s="16">
        <v>990</v>
      </c>
      <c r="F44" s="15">
        <v>106.72304617604617</v>
      </c>
    </row>
    <row r="45" spans="1:6" ht="12.75">
      <c r="A45" s="22">
        <v>38668</v>
      </c>
      <c r="B45" s="15">
        <v>9284113</v>
      </c>
      <c r="C45" s="15">
        <f t="shared" si="1"/>
        <v>8477177.48</v>
      </c>
      <c r="D45" s="15">
        <v>806935.52</v>
      </c>
      <c r="E45" s="16">
        <v>990</v>
      </c>
      <c r="F45" s="15">
        <v>116.44091197691198</v>
      </c>
    </row>
    <row r="46" spans="1:6" ht="12.75">
      <c r="A46" s="22">
        <v>38675</v>
      </c>
      <c r="B46" s="15">
        <v>6753241.4</v>
      </c>
      <c r="C46" s="15">
        <f t="shared" si="1"/>
        <v>6179260.84</v>
      </c>
      <c r="D46" s="15">
        <v>573980.56</v>
      </c>
      <c r="E46" s="16">
        <v>990</v>
      </c>
      <c r="F46" s="15">
        <v>82.82547763347762</v>
      </c>
    </row>
    <row r="47" spans="1:6" ht="12.75">
      <c r="A47" s="22">
        <v>38682</v>
      </c>
      <c r="B47" s="15">
        <v>7418685.01</v>
      </c>
      <c r="C47" s="15">
        <f t="shared" si="1"/>
        <v>6766842.79</v>
      </c>
      <c r="D47" s="15">
        <v>651842.22</v>
      </c>
      <c r="E47" s="16">
        <v>990</v>
      </c>
      <c r="F47" s="15">
        <v>94.0609264069264</v>
      </c>
    </row>
    <row r="48" spans="1:6" ht="12.75">
      <c r="A48" s="22">
        <v>38689</v>
      </c>
      <c r="B48" s="15">
        <v>7999115.5</v>
      </c>
      <c r="C48" s="15">
        <f t="shared" si="1"/>
        <v>7322141.6</v>
      </c>
      <c r="D48" s="15">
        <v>676973.9</v>
      </c>
      <c r="E48" s="16">
        <v>990</v>
      </c>
      <c r="F48" s="15">
        <v>97.68743145743146</v>
      </c>
    </row>
    <row r="49" spans="1:6" ht="12.75">
      <c r="A49" s="22">
        <v>38696</v>
      </c>
      <c r="B49" s="15">
        <v>7224533.34</v>
      </c>
      <c r="C49" s="15">
        <f t="shared" si="1"/>
        <v>6618074.84</v>
      </c>
      <c r="D49" s="15">
        <v>606458.5</v>
      </c>
      <c r="E49" s="16">
        <v>990</v>
      </c>
      <c r="F49" s="15">
        <v>87.51204906204906</v>
      </c>
    </row>
    <row r="50" spans="1:6" ht="12.75">
      <c r="A50" s="22">
        <v>38703</v>
      </c>
      <c r="B50" s="15">
        <v>6591246.41</v>
      </c>
      <c r="C50" s="15">
        <f t="shared" si="1"/>
        <v>6032856.82</v>
      </c>
      <c r="D50" s="15">
        <v>558389.59</v>
      </c>
      <c r="E50" s="16">
        <v>990</v>
      </c>
      <c r="F50" s="15">
        <v>80.57569841269842</v>
      </c>
    </row>
    <row r="51" spans="1:6" ht="12.75">
      <c r="A51" s="22">
        <v>38710</v>
      </c>
      <c r="B51" s="15">
        <v>6638910.48</v>
      </c>
      <c r="C51" s="15">
        <f t="shared" si="1"/>
        <v>6067330.430000001</v>
      </c>
      <c r="D51" s="15">
        <v>571580.05</v>
      </c>
      <c r="E51" s="16">
        <v>990</v>
      </c>
      <c r="F51" s="15">
        <v>82.4790836940837</v>
      </c>
    </row>
    <row r="52" spans="1:6" ht="12.75">
      <c r="A52" s="22">
        <v>38717</v>
      </c>
      <c r="B52" s="15">
        <v>10350014.28</v>
      </c>
      <c r="C52" s="15">
        <f t="shared" si="1"/>
        <v>9453211.299999999</v>
      </c>
      <c r="D52" s="15">
        <v>896802.98</v>
      </c>
      <c r="E52" s="16">
        <v>990</v>
      </c>
      <c r="F52" s="15">
        <v>129.40879942279943</v>
      </c>
    </row>
    <row r="53" spans="1:6" ht="12.75">
      <c r="A53" s="22">
        <v>38724</v>
      </c>
      <c r="B53" s="15">
        <v>9266927.52</v>
      </c>
      <c r="C53" s="15">
        <f t="shared" si="1"/>
        <v>8457788.129999999</v>
      </c>
      <c r="D53" s="15">
        <v>809139.39</v>
      </c>
      <c r="E53" s="16">
        <v>990</v>
      </c>
      <c r="F53" s="15">
        <v>116.75893073593073</v>
      </c>
    </row>
    <row r="54" spans="1:6" ht="12.75">
      <c r="A54" s="22">
        <v>38731</v>
      </c>
      <c r="B54" s="15">
        <v>9164380.61</v>
      </c>
      <c r="C54" s="15">
        <f t="shared" si="1"/>
        <v>8373772.699999999</v>
      </c>
      <c r="D54" s="15">
        <v>790607.91</v>
      </c>
      <c r="E54" s="16">
        <v>990</v>
      </c>
      <c r="F54" s="15">
        <v>114.08483549783548</v>
      </c>
    </row>
    <row r="55" spans="1:6" ht="12.75">
      <c r="A55" s="22">
        <v>38738</v>
      </c>
      <c r="B55" s="15">
        <v>8988769.84</v>
      </c>
      <c r="C55" s="15">
        <f t="shared" si="1"/>
        <v>8204426.859999999</v>
      </c>
      <c r="D55" s="15">
        <v>784342.98</v>
      </c>
      <c r="E55" s="16">
        <v>990</v>
      </c>
      <c r="F55" s="15">
        <v>113.18080519480519</v>
      </c>
    </row>
    <row r="56" spans="1:6" ht="12.75">
      <c r="A56" s="22">
        <v>38745</v>
      </c>
      <c r="B56" s="15">
        <v>8829799.139999999</v>
      </c>
      <c r="C56" s="15">
        <f t="shared" si="1"/>
        <v>8063100.389999999</v>
      </c>
      <c r="D56" s="15">
        <v>766698.75</v>
      </c>
      <c r="E56" s="16">
        <v>990</v>
      </c>
      <c r="F56" s="15">
        <v>110.63474025974025</v>
      </c>
    </row>
    <row r="57" spans="1:6" ht="12.75">
      <c r="A57" s="22">
        <v>38752</v>
      </c>
      <c r="B57" s="15">
        <v>10057738.989999998</v>
      </c>
      <c r="C57" s="15">
        <f t="shared" si="1"/>
        <v>9175030.579999998</v>
      </c>
      <c r="D57" s="15">
        <v>882708.41</v>
      </c>
      <c r="E57" s="16">
        <v>990</v>
      </c>
      <c r="F57" s="15">
        <v>127.37495093795091</v>
      </c>
    </row>
    <row r="58" spans="1:6" ht="12.75">
      <c r="A58" s="22">
        <v>38759</v>
      </c>
      <c r="B58" s="15">
        <v>8598241.02</v>
      </c>
      <c r="C58" s="15">
        <f t="shared" si="1"/>
        <v>7845255.199999999</v>
      </c>
      <c r="D58" s="15">
        <v>752985.82</v>
      </c>
      <c r="E58" s="16">
        <v>990</v>
      </c>
      <c r="F58" s="15">
        <v>108.65596248196248</v>
      </c>
    </row>
    <row r="59" spans="1:6" ht="12.75">
      <c r="A59" s="22">
        <v>38766</v>
      </c>
      <c r="B59" s="15">
        <v>9430348.59</v>
      </c>
      <c r="C59" s="15">
        <f t="shared" si="1"/>
        <v>8610047.03</v>
      </c>
      <c r="D59" s="15">
        <v>820301.56</v>
      </c>
      <c r="E59" s="16">
        <v>990</v>
      </c>
      <c r="F59" s="15">
        <v>118.36963347763349</v>
      </c>
    </row>
    <row r="60" spans="1:6" ht="12.75">
      <c r="A60" s="22">
        <v>38773</v>
      </c>
      <c r="B60" s="15">
        <v>10323841.68</v>
      </c>
      <c r="C60" s="15">
        <f t="shared" si="1"/>
        <v>9415783.25</v>
      </c>
      <c r="D60" s="15">
        <v>908058.43</v>
      </c>
      <c r="E60" s="16">
        <v>990</v>
      </c>
      <c r="F60" s="15">
        <v>131.03296248196247</v>
      </c>
    </row>
    <row r="61" spans="1:6" ht="12.75">
      <c r="A61" s="22">
        <v>38780</v>
      </c>
      <c r="B61" s="15">
        <v>8970803.21</v>
      </c>
      <c r="C61" s="15">
        <f t="shared" si="1"/>
        <v>8209905.48</v>
      </c>
      <c r="D61" s="15">
        <v>760897.73</v>
      </c>
      <c r="E61" s="16">
        <v>990</v>
      </c>
      <c r="F61" s="15">
        <v>109.79765223665224</v>
      </c>
    </row>
    <row r="62" spans="1:6" ht="12.75">
      <c r="A62" s="22">
        <v>38787</v>
      </c>
      <c r="B62" s="15">
        <v>10288180.030000001</v>
      </c>
      <c r="C62" s="15">
        <f t="shared" si="1"/>
        <v>9428503.31</v>
      </c>
      <c r="D62" s="15">
        <v>859676.72</v>
      </c>
      <c r="E62" s="16">
        <v>990</v>
      </c>
      <c r="F62" s="15">
        <v>124.05147474747474</v>
      </c>
    </row>
    <row r="63" spans="1:6" ht="12.75">
      <c r="A63" s="22">
        <v>38794</v>
      </c>
      <c r="B63" s="15">
        <v>10783175.680000002</v>
      </c>
      <c r="C63" s="15">
        <f t="shared" si="1"/>
        <v>9807498.230000002</v>
      </c>
      <c r="D63" s="15">
        <v>975677.45</v>
      </c>
      <c r="E63" s="16">
        <v>990</v>
      </c>
      <c r="F63" s="15">
        <v>140.79039682539684</v>
      </c>
    </row>
    <row r="64" spans="1:6" ht="12.75">
      <c r="A64" s="22">
        <v>38801</v>
      </c>
      <c r="B64" s="15">
        <v>9595473.2</v>
      </c>
      <c r="C64" s="15">
        <f t="shared" si="1"/>
        <v>8758036.239999998</v>
      </c>
      <c r="D64" s="15">
        <v>837436.96</v>
      </c>
      <c r="E64" s="16">
        <v>990</v>
      </c>
      <c r="F64" s="15">
        <v>120.84227417027417</v>
      </c>
    </row>
    <row r="65" spans="1:6" ht="12.75">
      <c r="A65" s="22">
        <v>38808</v>
      </c>
      <c r="B65" s="15">
        <v>9184950.120000001</v>
      </c>
      <c r="C65" s="15">
        <f t="shared" si="1"/>
        <v>8363928.180000002</v>
      </c>
      <c r="D65" s="15">
        <v>821021.94</v>
      </c>
      <c r="E65" s="16">
        <v>990</v>
      </c>
      <c r="F65" s="15">
        <v>118.47358441558441</v>
      </c>
    </row>
    <row r="67" spans="1:6" ht="13.5" thickBot="1">
      <c r="A67" s="22" t="s">
        <v>8</v>
      </c>
      <c r="B67" s="17">
        <f>SUM(B13:B65)</f>
        <v>463998844.6099999</v>
      </c>
      <c r="C67" s="17">
        <f>SUM(C13:C65)</f>
        <v>424004125.08</v>
      </c>
      <c r="D67" s="17">
        <f>SUM(D13:D65)</f>
        <v>39994719.529999994</v>
      </c>
      <c r="E67" s="24">
        <f>SUM(E13:E65)/COUNT(E13:E65)</f>
        <v>990</v>
      </c>
      <c r="F67" s="17">
        <f>+D67/SUM(E13:E65)/7</f>
        <v>108.8913924419396</v>
      </c>
    </row>
    <row r="68" spans="1:4" s="21" customFormat="1" ht="13.5" thickTop="1">
      <c r="A68" s="22"/>
      <c r="B68" s="20"/>
      <c r="C68" s="20"/>
      <c r="D68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11" topLeftCell="A60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5.7109375" style="3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9" s="26" customFormat="1" ht="18">
      <c r="A1" s="42" t="s">
        <v>18</v>
      </c>
      <c r="B1" s="42"/>
      <c r="C1" s="42"/>
      <c r="D1" s="42"/>
      <c r="E1" s="42"/>
      <c r="F1" s="42"/>
      <c r="G1" s="28"/>
      <c r="H1" s="28"/>
      <c r="I1" s="28"/>
    </row>
    <row r="2" spans="1:9" s="26" customFormat="1" ht="15">
      <c r="A2" s="43" t="s">
        <v>19</v>
      </c>
      <c r="B2" s="43"/>
      <c r="C2" s="43"/>
      <c r="D2" s="43"/>
      <c r="E2" s="43"/>
      <c r="F2" s="43"/>
      <c r="G2" s="29"/>
      <c r="H2" s="29"/>
      <c r="I2" s="29"/>
    </row>
    <row r="3" spans="1:9" s="27" customFormat="1" ht="15">
      <c r="A3" s="43" t="s">
        <v>20</v>
      </c>
      <c r="B3" s="43"/>
      <c r="C3" s="43"/>
      <c r="D3" s="43"/>
      <c r="E3" s="43"/>
      <c r="F3" s="43"/>
      <c r="G3" s="29"/>
      <c r="H3" s="29"/>
      <c r="I3" s="29"/>
    </row>
    <row r="4" spans="1:9" s="27" customFormat="1" ht="14.25">
      <c r="A4" s="44" t="s">
        <v>21</v>
      </c>
      <c r="B4" s="44"/>
      <c r="C4" s="44"/>
      <c r="D4" s="44"/>
      <c r="E4" s="44"/>
      <c r="F4" s="44"/>
      <c r="G4" s="32"/>
      <c r="H4" s="30"/>
      <c r="I4" s="30"/>
    </row>
    <row r="5" spans="1:9" s="27" customFormat="1" ht="14.25">
      <c r="A5" s="45" t="s">
        <v>22</v>
      </c>
      <c r="B5" s="45"/>
      <c r="C5" s="45"/>
      <c r="D5" s="45"/>
      <c r="E5" s="45"/>
      <c r="F5" s="45"/>
      <c r="G5" s="31"/>
      <c r="H5" s="31"/>
      <c r="I5" s="31"/>
    </row>
    <row r="6" spans="1:6" s="1" customFormat="1" ht="14.25">
      <c r="A6" s="2"/>
      <c r="B6" s="2"/>
      <c r="C6" s="2"/>
      <c r="D6" s="2"/>
      <c r="E6" s="2"/>
      <c r="F6" s="2"/>
    </row>
    <row r="7" spans="1:6" s="1" customFormat="1" ht="12.75">
      <c r="A7" s="3"/>
      <c r="B7" s="4"/>
      <c r="C7" s="4"/>
      <c r="D7" s="5"/>
      <c r="E7" s="6"/>
      <c r="F7" s="5"/>
    </row>
    <row r="8" spans="1:6" s="7" customFormat="1" ht="14.25" customHeight="1">
      <c r="A8" s="46" t="s">
        <v>17</v>
      </c>
      <c r="B8" s="47"/>
      <c r="C8" s="47"/>
      <c r="D8" s="47"/>
      <c r="E8" s="47"/>
      <c r="F8" s="48"/>
    </row>
    <row r="9" spans="1:6" s="1" customFormat="1" ht="9" customHeight="1">
      <c r="A9" s="3"/>
      <c r="B9" s="4"/>
      <c r="C9" s="4"/>
      <c r="D9" s="5"/>
      <c r="E9" s="6"/>
      <c r="F9" s="5"/>
    </row>
    <row r="10" spans="1:6" s="12" customFormat="1" ht="12">
      <c r="A10" s="9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13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38080</v>
      </c>
      <c r="B13" s="15">
        <v>10032593.36</v>
      </c>
      <c r="C13" s="15">
        <f aca="true" t="shared" si="0" ref="C13:C56">+B13-D13</f>
        <v>9236819.43</v>
      </c>
      <c r="D13" s="15">
        <v>795773.93</v>
      </c>
      <c r="E13" s="16">
        <v>990</v>
      </c>
      <c r="F13" s="15">
        <v>114.83029292929294</v>
      </c>
    </row>
    <row r="14" spans="1:6" ht="12.75">
      <c r="A14" s="22">
        <v>38087</v>
      </c>
      <c r="B14" s="15">
        <v>9383013.42</v>
      </c>
      <c r="C14" s="15">
        <f t="shared" si="0"/>
        <v>8659780.2</v>
      </c>
      <c r="D14" s="15">
        <v>723233.22</v>
      </c>
      <c r="E14" s="16">
        <v>990</v>
      </c>
      <c r="F14" s="15">
        <v>104.36265800865802</v>
      </c>
    </row>
    <row r="15" spans="1:6" ht="12.75">
      <c r="A15" s="22">
        <v>38094</v>
      </c>
      <c r="B15" s="15">
        <v>9599827.35</v>
      </c>
      <c r="C15" s="15">
        <f t="shared" si="0"/>
        <v>8855450.48</v>
      </c>
      <c r="D15" s="15">
        <v>744376.87</v>
      </c>
      <c r="E15" s="16">
        <v>990</v>
      </c>
      <c r="F15" s="15">
        <v>107.41368975468976</v>
      </c>
    </row>
    <row r="16" spans="1:6" ht="12.75">
      <c r="A16" s="22">
        <v>38101</v>
      </c>
      <c r="B16" s="15">
        <v>11354860.700000001</v>
      </c>
      <c r="C16" s="15">
        <f t="shared" si="0"/>
        <v>10518465.91</v>
      </c>
      <c r="D16" s="15">
        <v>836394.79</v>
      </c>
      <c r="E16" s="16">
        <v>990</v>
      </c>
      <c r="F16" s="15">
        <v>120.69188888888888</v>
      </c>
    </row>
    <row r="17" spans="1:6" ht="12.75">
      <c r="A17" s="22">
        <v>38108</v>
      </c>
      <c r="B17" s="15">
        <v>9095787.34</v>
      </c>
      <c r="C17" s="15">
        <f t="shared" si="0"/>
        <v>8374518.95</v>
      </c>
      <c r="D17" s="15">
        <v>721268.39</v>
      </c>
      <c r="E17" s="16">
        <v>990</v>
      </c>
      <c r="F17" s="15">
        <v>104.07913275613274</v>
      </c>
    </row>
    <row r="18" spans="1:6" ht="12.75">
      <c r="A18" s="22">
        <v>38115</v>
      </c>
      <c r="B18" s="15">
        <v>8573585.590000002</v>
      </c>
      <c r="C18" s="15">
        <f t="shared" si="0"/>
        <v>7901838.910000002</v>
      </c>
      <c r="D18" s="15">
        <v>671746.68</v>
      </c>
      <c r="E18" s="16">
        <v>990</v>
      </c>
      <c r="F18" s="15">
        <v>96.93314285714285</v>
      </c>
    </row>
    <row r="19" spans="1:6" ht="12.75">
      <c r="A19" s="22">
        <v>38122</v>
      </c>
      <c r="B19" s="15">
        <v>8249019.71</v>
      </c>
      <c r="C19" s="15">
        <f t="shared" si="0"/>
        <v>7577105.28</v>
      </c>
      <c r="D19" s="15">
        <v>671914.43</v>
      </c>
      <c r="E19" s="16">
        <v>990</v>
      </c>
      <c r="F19" s="15">
        <v>96.95734920634919</v>
      </c>
    </row>
    <row r="20" spans="1:6" ht="12.75">
      <c r="A20" s="22">
        <v>38129</v>
      </c>
      <c r="B20" s="15">
        <v>7401876.19</v>
      </c>
      <c r="C20" s="15">
        <f t="shared" si="0"/>
        <v>6822231.87</v>
      </c>
      <c r="D20" s="15">
        <v>579644.32</v>
      </c>
      <c r="E20" s="16">
        <v>990</v>
      </c>
      <c r="F20" s="15">
        <v>83.64275901875901</v>
      </c>
    </row>
    <row r="21" spans="1:6" ht="12.75">
      <c r="A21" s="22">
        <v>38136</v>
      </c>
      <c r="B21" s="15">
        <v>8086731.71</v>
      </c>
      <c r="C21" s="15">
        <f t="shared" si="0"/>
        <v>7460446.15</v>
      </c>
      <c r="D21" s="15">
        <v>626285.56</v>
      </c>
      <c r="E21" s="16">
        <v>990</v>
      </c>
      <c r="F21" s="15">
        <v>90.37309668109668</v>
      </c>
    </row>
    <row r="22" spans="1:6" ht="12.75">
      <c r="A22" s="22">
        <v>38143</v>
      </c>
      <c r="B22" s="15">
        <v>8648349.26</v>
      </c>
      <c r="C22" s="15">
        <f t="shared" si="0"/>
        <v>7973177.68</v>
      </c>
      <c r="D22" s="15">
        <v>675171.58</v>
      </c>
      <c r="E22" s="16">
        <v>990</v>
      </c>
      <c r="F22" s="15">
        <v>97.42735642135644</v>
      </c>
    </row>
    <row r="23" spans="1:6" ht="12.75">
      <c r="A23" s="22">
        <v>38150</v>
      </c>
      <c r="B23" s="15">
        <v>7533274.36</v>
      </c>
      <c r="C23" s="15">
        <f t="shared" si="0"/>
        <v>6872212.15</v>
      </c>
      <c r="D23" s="15">
        <v>661062.21</v>
      </c>
      <c r="E23" s="16">
        <v>990</v>
      </c>
      <c r="F23" s="15">
        <v>95.39137229437229</v>
      </c>
    </row>
    <row r="24" spans="1:6" ht="12.75">
      <c r="A24" s="22">
        <v>38157</v>
      </c>
      <c r="B24" s="15">
        <v>7651024.1</v>
      </c>
      <c r="C24" s="15">
        <f t="shared" si="0"/>
        <v>7024414.029999999</v>
      </c>
      <c r="D24" s="15">
        <v>626610.07</v>
      </c>
      <c r="E24" s="16">
        <v>990</v>
      </c>
      <c r="F24" s="15">
        <v>90.41992352092353</v>
      </c>
    </row>
    <row r="25" spans="1:6" ht="12.75">
      <c r="A25" s="22">
        <v>38164</v>
      </c>
      <c r="B25" s="15">
        <v>7666903.5600000005</v>
      </c>
      <c r="C25" s="15">
        <f t="shared" si="0"/>
        <v>7019778.23</v>
      </c>
      <c r="D25" s="15">
        <v>647125.33</v>
      </c>
      <c r="E25" s="16">
        <v>990</v>
      </c>
      <c r="F25" s="15">
        <v>93.38027849927849</v>
      </c>
    </row>
    <row r="26" spans="1:6" ht="12.75">
      <c r="A26" s="22">
        <v>38171</v>
      </c>
      <c r="B26" s="15">
        <v>7973281.63</v>
      </c>
      <c r="C26" s="15">
        <f t="shared" si="0"/>
        <v>7301988.09</v>
      </c>
      <c r="D26" s="15">
        <v>671293.54</v>
      </c>
      <c r="E26" s="16">
        <v>990</v>
      </c>
      <c r="F26" s="15">
        <v>96.86775468975468</v>
      </c>
    </row>
    <row r="27" spans="1:6" ht="12.75">
      <c r="A27" s="22">
        <v>38178</v>
      </c>
      <c r="B27" s="15">
        <v>8849255.379999999</v>
      </c>
      <c r="C27" s="15">
        <f t="shared" si="0"/>
        <v>8092538.369999999</v>
      </c>
      <c r="D27" s="15">
        <v>756717.01</v>
      </c>
      <c r="E27" s="16">
        <v>990</v>
      </c>
      <c r="F27" s="15">
        <v>109.19437373737374</v>
      </c>
    </row>
    <row r="28" spans="1:6" ht="12.75">
      <c r="A28" s="22">
        <v>38185</v>
      </c>
      <c r="B28" s="15">
        <v>8462181.450000001</v>
      </c>
      <c r="C28" s="15">
        <f t="shared" si="0"/>
        <v>7777276.630000001</v>
      </c>
      <c r="D28" s="15">
        <v>684904.82</v>
      </c>
      <c r="E28" s="16">
        <v>990</v>
      </c>
      <c r="F28" s="15">
        <v>98.83186435786436</v>
      </c>
    </row>
    <row r="29" spans="1:6" ht="12.75">
      <c r="A29" s="22">
        <v>38192</v>
      </c>
      <c r="B29" s="15">
        <v>7646925.090000001</v>
      </c>
      <c r="C29" s="15">
        <f t="shared" si="0"/>
        <v>6987541.170000001</v>
      </c>
      <c r="D29" s="15">
        <v>659383.92</v>
      </c>
      <c r="E29" s="16">
        <v>990</v>
      </c>
      <c r="F29" s="15">
        <v>95.1491948051948</v>
      </c>
    </row>
    <row r="30" spans="1:6" ht="12.75">
      <c r="A30" s="22">
        <v>38199</v>
      </c>
      <c r="B30" s="15">
        <v>8677434.76</v>
      </c>
      <c r="C30" s="15">
        <f t="shared" si="0"/>
        <v>7971977.57</v>
      </c>
      <c r="D30" s="15">
        <v>705457.19</v>
      </c>
      <c r="E30" s="16">
        <v>990</v>
      </c>
      <c r="F30" s="15">
        <v>101.7975743145743</v>
      </c>
    </row>
    <row r="31" spans="1:6" ht="12.75">
      <c r="A31" s="22">
        <v>38206</v>
      </c>
      <c r="B31" s="15">
        <v>7442815.09</v>
      </c>
      <c r="C31" s="15">
        <f t="shared" si="0"/>
        <v>6792638.64</v>
      </c>
      <c r="D31" s="15">
        <v>650176.45</v>
      </c>
      <c r="E31" s="16">
        <v>990</v>
      </c>
      <c r="F31" s="15">
        <v>93.82055555555557</v>
      </c>
    </row>
    <row r="32" spans="1:6" ht="12.75">
      <c r="A32" s="22">
        <v>38213</v>
      </c>
      <c r="B32" s="15">
        <v>4998880.91</v>
      </c>
      <c r="C32" s="15">
        <f t="shared" si="0"/>
        <v>4582490.43</v>
      </c>
      <c r="D32" s="15">
        <v>416390.48</v>
      </c>
      <c r="E32" s="16">
        <v>990</v>
      </c>
      <c r="F32" s="15">
        <v>60.085206349206345</v>
      </c>
    </row>
    <row r="33" spans="1:6" ht="12.75">
      <c r="A33" s="22">
        <v>38220</v>
      </c>
      <c r="B33" s="15">
        <v>5972102.9799999995</v>
      </c>
      <c r="C33" s="15">
        <f t="shared" si="0"/>
        <v>5464752.319999999</v>
      </c>
      <c r="D33" s="15">
        <v>507350.66</v>
      </c>
      <c r="E33" s="16">
        <v>990</v>
      </c>
      <c r="F33" s="15">
        <v>73.21077344877345</v>
      </c>
    </row>
    <row r="34" spans="1:6" ht="12.75">
      <c r="A34" s="22">
        <v>38227</v>
      </c>
      <c r="B34" s="15">
        <v>7938919.2</v>
      </c>
      <c r="C34" s="15">
        <f t="shared" si="0"/>
        <v>7267792.86</v>
      </c>
      <c r="D34" s="15">
        <v>671126.34</v>
      </c>
      <c r="E34" s="16">
        <v>990</v>
      </c>
      <c r="F34" s="15">
        <v>96.8436277056277</v>
      </c>
    </row>
    <row r="35" spans="1:6" ht="12.75">
      <c r="A35" s="22">
        <v>38234</v>
      </c>
      <c r="B35" s="15">
        <v>7265432.02</v>
      </c>
      <c r="C35" s="15">
        <f t="shared" si="0"/>
        <v>6632761.2299999995</v>
      </c>
      <c r="D35" s="15">
        <v>632670.79</v>
      </c>
      <c r="E35" s="16">
        <v>990</v>
      </c>
      <c r="F35" s="15">
        <v>91.2944862914863</v>
      </c>
    </row>
    <row r="36" spans="1:6" ht="12.75">
      <c r="A36" s="22">
        <v>38241</v>
      </c>
      <c r="B36" s="15">
        <v>8741143.610000001</v>
      </c>
      <c r="C36" s="15">
        <f t="shared" si="0"/>
        <v>7987751.110000001</v>
      </c>
      <c r="D36" s="15">
        <v>753392.5</v>
      </c>
      <c r="E36" s="16">
        <v>990</v>
      </c>
      <c r="F36" s="15">
        <v>108.71464646464645</v>
      </c>
    </row>
    <row r="37" spans="1:6" ht="12.75">
      <c r="A37" s="22">
        <v>38248</v>
      </c>
      <c r="B37" s="15">
        <v>5824148.96</v>
      </c>
      <c r="C37" s="15">
        <f t="shared" si="0"/>
        <v>5346282.6899999995</v>
      </c>
      <c r="D37" s="15">
        <v>477866.27</v>
      </c>
      <c r="E37" s="16">
        <v>990</v>
      </c>
      <c r="F37" s="15">
        <v>68.95617171717171</v>
      </c>
    </row>
    <row r="38" spans="1:6" ht="12.75">
      <c r="A38" s="22">
        <v>38255</v>
      </c>
      <c r="B38" s="15">
        <v>7445953.139999999</v>
      </c>
      <c r="C38" s="15">
        <f t="shared" si="0"/>
        <v>6831699.849999999</v>
      </c>
      <c r="D38" s="15">
        <v>614253.29</v>
      </c>
      <c r="E38" s="16">
        <v>990</v>
      </c>
      <c r="F38" s="15">
        <v>88.6368383838384</v>
      </c>
    </row>
    <row r="39" spans="1:6" ht="12.75">
      <c r="A39" s="22">
        <v>38262</v>
      </c>
      <c r="B39" s="15">
        <v>7775269.43</v>
      </c>
      <c r="C39" s="15">
        <f t="shared" si="0"/>
        <v>7077515.199999999</v>
      </c>
      <c r="D39" s="15">
        <v>697754.23</v>
      </c>
      <c r="E39" s="16">
        <v>990</v>
      </c>
      <c r="F39" s="15">
        <v>100.68603607503607</v>
      </c>
    </row>
    <row r="40" spans="1:6" ht="12.75">
      <c r="A40" s="22">
        <v>38269</v>
      </c>
      <c r="B40" s="15">
        <v>7321492.53</v>
      </c>
      <c r="C40" s="15">
        <f t="shared" si="0"/>
        <v>6709394.86</v>
      </c>
      <c r="D40" s="15">
        <v>612097.67</v>
      </c>
      <c r="E40" s="16">
        <v>990</v>
      </c>
      <c r="F40" s="15">
        <v>88.32578210678211</v>
      </c>
    </row>
    <row r="41" spans="1:6" ht="12.75">
      <c r="A41" s="22">
        <v>38276</v>
      </c>
      <c r="B41" s="15">
        <v>7637281.68</v>
      </c>
      <c r="C41" s="15">
        <f t="shared" si="0"/>
        <v>7001625.22</v>
      </c>
      <c r="D41" s="15">
        <v>635656.46</v>
      </c>
      <c r="E41" s="16">
        <v>990</v>
      </c>
      <c r="F41" s="15">
        <v>91.7253189033189</v>
      </c>
    </row>
    <row r="42" spans="1:6" ht="12.75">
      <c r="A42" s="22">
        <v>38283</v>
      </c>
      <c r="B42" s="15">
        <v>7716768.39</v>
      </c>
      <c r="C42" s="15">
        <f t="shared" si="0"/>
        <v>7037002.89</v>
      </c>
      <c r="D42" s="15">
        <v>679765.5</v>
      </c>
      <c r="E42" s="16">
        <v>990</v>
      </c>
      <c r="F42" s="15">
        <v>98.09025974025973</v>
      </c>
    </row>
    <row r="43" spans="1:6" ht="12.75">
      <c r="A43" s="22">
        <v>38290</v>
      </c>
      <c r="B43" s="15">
        <v>7747326.9</v>
      </c>
      <c r="C43" s="15">
        <f t="shared" si="0"/>
        <v>7062443.8100000005</v>
      </c>
      <c r="D43" s="15">
        <v>684883.09</v>
      </c>
      <c r="E43" s="16">
        <v>990</v>
      </c>
      <c r="F43" s="15">
        <v>98.82872871572872</v>
      </c>
    </row>
    <row r="44" spans="1:6" ht="12.75">
      <c r="A44" s="22">
        <v>38297</v>
      </c>
      <c r="B44" s="15">
        <v>7854180.64</v>
      </c>
      <c r="C44" s="15">
        <f t="shared" si="0"/>
        <v>7187516.05</v>
      </c>
      <c r="D44" s="15">
        <v>666664.59</v>
      </c>
      <c r="E44" s="16">
        <v>990</v>
      </c>
      <c r="F44" s="15">
        <v>96.19979653679653</v>
      </c>
    </row>
    <row r="45" spans="1:6" ht="12.75">
      <c r="A45" s="22">
        <v>38304</v>
      </c>
      <c r="B45" s="15">
        <v>7524474.07</v>
      </c>
      <c r="C45" s="15">
        <f t="shared" si="0"/>
        <v>6901696.86</v>
      </c>
      <c r="D45" s="15">
        <v>622777.21</v>
      </c>
      <c r="E45" s="16">
        <v>990</v>
      </c>
      <c r="F45" s="15">
        <v>89.86684126984126</v>
      </c>
    </row>
    <row r="46" spans="1:6" ht="12.75">
      <c r="A46" s="22">
        <v>38311</v>
      </c>
      <c r="B46" s="15">
        <v>7383337.0200000005</v>
      </c>
      <c r="C46" s="15">
        <f t="shared" si="0"/>
        <v>6739008.33</v>
      </c>
      <c r="D46" s="15">
        <v>644328.69</v>
      </c>
      <c r="E46" s="16">
        <v>990</v>
      </c>
      <c r="F46" s="15">
        <v>92.97672294372293</v>
      </c>
    </row>
    <row r="47" spans="1:6" ht="12.75">
      <c r="A47" s="22">
        <v>38318</v>
      </c>
      <c r="B47" s="15">
        <v>7275229.67</v>
      </c>
      <c r="C47" s="15">
        <f t="shared" si="0"/>
        <v>6631244.26</v>
      </c>
      <c r="D47" s="15">
        <v>643985.41</v>
      </c>
      <c r="E47" s="16">
        <v>990</v>
      </c>
      <c r="F47" s="15">
        <v>92.9271875901876</v>
      </c>
    </row>
    <row r="48" spans="1:6" ht="12.75">
      <c r="A48" s="22">
        <v>38325</v>
      </c>
      <c r="B48" s="15">
        <v>7196303.18</v>
      </c>
      <c r="C48" s="15">
        <f t="shared" si="0"/>
        <v>6585381.109999999</v>
      </c>
      <c r="D48" s="15">
        <v>610922.07</v>
      </c>
      <c r="E48" s="16">
        <v>990</v>
      </c>
      <c r="F48" s="15">
        <v>88.15614285714287</v>
      </c>
    </row>
    <row r="49" spans="1:6" ht="12.75">
      <c r="A49" s="22">
        <v>38332</v>
      </c>
      <c r="B49" s="15">
        <v>7286382.73</v>
      </c>
      <c r="C49" s="15">
        <f t="shared" si="0"/>
        <v>6644028.44</v>
      </c>
      <c r="D49" s="15">
        <v>642354.29</v>
      </c>
      <c r="E49" s="16">
        <v>990</v>
      </c>
      <c r="F49" s="15">
        <v>92.69181673881674</v>
      </c>
    </row>
    <row r="50" spans="1:6" ht="12.75">
      <c r="A50" s="22">
        <v>38339</v>
      </c>
      <c r="B50" s="15">
        <v>6103038.63</v>
      </c>
      <c r="C50" s="15">
        <f t="shared" si="0"/>
        <v>5588126.83</v>
      </c>
      <c r="D50" s="15">
        <v>514911.8</v>
      </c>
      <c r="E50" s="16">
        <v>990</v>
      </c>
      <c r="F50" s="15">
        <v>74.30184704184704</v>
      </c>
    </row>
    <row r="51" spans="1:6" ht="12.75">
      <c r="A51" s="22">
        <v>38346</v>
      </c>
      <c r="B51" s="15">
        <v>4199056.5</v>
      </c>
      <c r="C51" s="15">
        <f t="shared" si="0"/>
        <v>3831733.24</v>
      </c>
      <c r="D51" s="15">
        <v>367323.26</v>
      </c>
      <c r="E51" s="16">
        <v>990</v>
      </c>
      <c r="F51" s="15">
        <v>53.00479942279942</v>
      </c>
    </row>
    <row r="52" spans="1:6" ht="12.75">
      <c r="A52" s="22">
        <v>38353</v>
      </c>
      <c r="B52" s="15">
        <v>9500243.05</v>
      </c>
      <c r="C52" s="15">
        <f t="shared" si="0"/>
        <v>8705359.98</v>
      </c>
      <c r="D52" s="15">
        <v>794883.07</v>
      </c>
      <c r="E52" s="16">
        <v>990</v>
      </c>
      <c r="F52" s="15">
        <v>114.7017417027417</v>
      </c>
    </row>
    <row r="53" spans="1:6" ht="12.75">
      <c r="A53" s="22">
        <v>38360</v>
      </c>
      <c r="B53" s="15">
        <v>7935725.23</v>
      </c>
      <c r="C53" s="15">
        <f t="shared" si="0"/>
        <v>7248883.930000001</v>
      </c>
      <c r="D53" s="15">
        <v>686841.3</v>
      </c>
      <c r="E53" s="16">
        <v>990</v>
      </c>
      <c r="F53" s="15">
        <v>99.1112987012987</v>
      </c>
    </row>
    <row r="54" spans="1:6" ht="12.75">
      <c r="A54" s="22">
        <v>38367</v>
      </c>
      <c r="B54" s="15">
        <v>7671800.82</v>
      </c>
      <c r="C54" s="15">
        <f t="shared" si="0"/>
        <v>6985892.42</v>
      </c>
      <c r="D54" s="15">
        <v>685908.4</v>
      </c>
      <c r="E54" s="16">
        <v>990</v>
      </c>
      <c r="F54" s="15">
        <v>98.9766810966811</v>
      </c>
    </row>
    <row r="55" spans="1:6" ht="12.75">
      <c r="A55" s="22">
        <v>38374</v>
      </c>
      <c r="B55" s="15">
        <v>5950060.1899999995</v>
      </c>
      <c r="C55" s="15">
        <f t="shared" si="0"/>
        <v>5448288.85</v>
      </c>
      <c r="D55" s="15">
        <v>501771.34</v>
      </c>
      <c r="E55" s="16">
        <v>990</v>
      </c>
      <c r="F55" s="15">
        <v>72.40567676767677</v>
      </c>
    </row>
    <row r="56" spans="1:6" ht="12.75">
      <c r="A56" s="22">
        <v>38381</v>
      </c>
      <c r="B56" s="15">
        <v>7114274.4799999995</v>
      </c>
      <c r="C56" s="15">
        <f t="shared" si="0"/>
        <v>6496284.17</v>
      </c>
      <c r="D56" s="15">
        <v>617990.31</v>
      </c>
      <c r="E56" s="16">
        <v>990</v>
      </c>
      <c r="F56" s="15">
        <v>89.17609090909092</v>
      </c>
    </row>
    <row r="57" spans="1:6" ht="12.75">
      <c r="A57" s="22">
        <v>38388</v>
      </c>
      <c r="B57" s="15">
        <v>8143366.57</v>
      </c>
      <c r="C57" s="15">
        <f aca="true" t="shared" si="1" ref="C57:C64">+B57-D57</f>
        <v>7459280.0600000005</v>
      </c>
      <c r="D57" s="15">
        <v>684086.51</v>
      </c>
      <c r="E57" s="16">
        <v>990</v>
      </c>
      <c r="F57" s="15">
        <v>98.7137821067821</v>
      </c>
    </row>
    <row r="58" spans="1:6" ht="12.75">
      <c r="A58" s="22">
        <v>38395</v>
      </c>
      <c r="B58" s="15">
        <v>7967995.04</v>
      </c>
      <c r="C58" s="15">
        <f t="shared" si="1"/>
        <v>7290221.45</v>
      </c>
      <c r="D58" s="15">
        <v>677773.59</v>
      </c>
      <c r="E58" s="16">
        <v>990</v>
      </c>
      <c r="F58" s="15">
        <v>97.80282683982684</v>
      </c>
    </row>
    <row r="59" spans="1:6" ht="12.75">
      <c r="A59" s="22">
        <v>38402</v>
      </c>
      <c r="B59" s="15">
        <v>8447166.94</v>
      </c>
      <c r="C59" s="15">
        <f t="shared" si="1"/>
        <v>7748368.869999999</v>
      </c>
      <c r="D59" s="15">
        <v>698798.07</v>
      </c>
      <c r="E59" s="16">
        <v>990</v>
      </c>
      <c r="F59" s="15">
        <v>100.83666233766235</v>
      </c>
    </row>
    <row r="60" spans="1:6" ht="12.75">
      <c r="A60" s="22">
        <v>38409</v>
      </c>
      <c r="B60" s="15">
        <v>8819492.28</v>
      </c>
      <c r="C60" s="15">
        <f t="shared" si="1"/>
        <v>8040090.899999999</v>
      </c>
      <c r="D60" s="15">
        <v>779401.38</v>
      </c>
      <c r="E60" s="16">
        <v>990</v>
      </c>
      <c r="F60" s="15">
        <v>112.4677316017316</v>
      </c>
    </row>
    <row r="61" spans="1:6" ht="12.75">
      <c r="A61" s="22">
        <v>38416</v>
      </c>
      <c r="B61" s="15">
        <v>8565087.979999999</v>
      </c>
      <c r="C61" s="15">
        <f t="shared" si="1"/>
        <v>7874451.469999999</v>
      </c>
      <c r="D61" s="15">
        <v>690636.51</v>
      </c>
      <c r="E61" s="16">
        <v>990</v>
      </c>
      <c r="F61" s="15">
        <v>99.65894805194803</v>
      </c>
    </row>
    <row r="62" spans="1:6" ht="12.75">
      <c r="A62" s="22">
        <v>38423</v>
      </c>
      <c r="B62" s="15">
        <v>9437669.290000001</v>
      </c>
      <c r="C62" s="15">
        <f t="shared" si="1"/>
        <v>8672770.25</v>
      </c>
      <c r="D62" s="15">
        <v>764899.04</v>
      </c>
      <c r="E62" s="16">
        <v>990</v>
      </c>
      <c r="F62" s="15">
        <v>110.37504184704186</v>
      </c>
    </row>
    <row r="63" spans="1:6" ht="12.75">
      <c r="A63" s="22">
        <v>38430</v>
      </c>
      <c r="B63" s="15">
        <v>9394640.01</v>
      </c>
      <c r="C63" s="15">
        <f t="shared" si="1"/>
        <v>8653726.23</v>
      </c>
      <c r="D63" s="15">
        <v>740913.78</v>
      </c>
      <c r="E63" s="16">
        <v>990</v>
      </c>
      <c r="F63" s="15">
        <v>106.91396536796536</v>
      </c>
    </row>
    <row r="64" spans="1:6" ht="12.75">
      <c r="A64" s="22">
        <v>38437</v>
      </c>
      <c r="B64" s="15">
        <v>8797095.33</v>
      </c>
      <c r="C64" s="15">
        <f t="shared" si="1"/>
        <v>8040514.79</v>
      </c>
      <c r="D64" s="15">
        <v>756580.54</v>
      </c>
      <c r="E64" s="16">
        <v>987</v>
      </c>
      <c r="F64" s="15">
        <v>109.52237116386797</v>
      </c>
    </row>
    <row r="65" ht="12.75">
      <c r="A65" s="22"/>
    </row>
    <row r="66" spans="1:7" ht="13.5" thickBot="1">
      <c r="A66" s="3" t="s">
        <v>8</v>
      </c>
      <c r="B66" s="17">
        <f>SUM(B13:B64)</f>
        <v>411280079.45000005</v>
      </c>
      <c r="C66" s="17">
        <f>SUM(C13:C64)</f>
        <v>376994580.7000001</v>
      </c>
      <c r="D66" s="17">
        <f>SUM(D13:D64)</f>
        <v>34285498.75000001</v>
      </c>
      <c r="E66" s="24">
        <f>SUM(E13:E64)/COUNT(E13:E64)</f>
        <v>989.9423076923077</v>
      </c>
      <c r="F66" s="17">
        <f>+D66/SUM(E13:E64)/7</f>
        <v>95.14789892295867</v>
      </c>
      <c r="G66" s="15"/>
    </row>
    <row r="67" spans="1:4" s="21" customFormat="1" ht="13.5" thickTop="1">
      <c r="A67" s="19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ySplit="11" topLeftCell="A55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5.7109375" style="22" customWidth="1"/>
    <col min="2" max="4" width="15.7109375" style="15" customWidth="1"/>
    <col min="5" max="5" width="15.7109375" style="16" customWidth="1"/>
    <col min="6" max="6" width="15.7109375" style="15" customWidth="1"/>
  </cols>
  <sheetData>
    <row r="1" spans="1:11" s="26" customFormat="1" ht="18">
      <c r="A1" s="42" t="s">
        <v>18</v>
      </c>
      <c r="B1" s="42"/>
      <c r="C1" s="42"/>
      <c r="D1" s="42"/>
      <c r="E1" s="42"/>
      <c r="F1" s="42"/>
      <c r="G1" s="28"/>
      <c r="H1" s="28"/>
      <c r="I1" s="28"/>
      <c r="J1" s="28"/>
      <c r="K1" s="28"/>
    </row>
    <row r="2" spans="1:11" s="26" customFormat="1" ht="15">
      <c r="A2" s="43" t="s">
        <v>19</v>
      </c>
      <c r="B2" s="43"/>
      <c r="C2" s="43"/>
      <c r="D2" s="43"/>
      <c r="E2" s="43"/>
      <c r="F2" s="43"/>
      <c r="G2" s="29"/>
      <c r="H2" s="29"/>
      <c r="I2" s="29"/>
      <c r="J2" s="29"/>
      <c r="K2" s="29"/>
    </row>
    <row r="3" spans="1:11" s="27" customFormat="1" ht="15">
      <c r="A3" s="43" t="s">
        <v>20</v>
      </c>
      <c r="B3" s="43"/>
      <c r="C3" s="43"/>
      <c r="D3" s="43"/>
      <c r="E3" s="43"/>
      <c r="F3" s="43"/>
      <c r="G3" s="29"/>
      <c r="H3" s="29"/>
      <c r="I3" s="29"/>
      <c r="J3" s="29"/>
      <c r="K3" s="29"/>
    </row>
    <row r="4" spans="1:11" s="27" customFormat="1" ht="14.25">
      <c r="A4" s="44" t="s">
        <v>21</v>
      </c>
      <c r="B4" s="44"/>
      <c r="C4" s="44"/>
      <c r="D4" s="44"/>
      <c r="E4" s="44"/>
      <c r="F4" s="44"/>
      <c r="G4" s="32"/>
      <c r="H4" s="32"/>
      <c r="I4" s="30"/>
      <c r="J4" s="30"/>
      <c r="K4" s="30"/>
    </row>
    <row r="5" spans="1:11" s="27" customFormat="1" ht="14.25">
      <c r="A5" s="45" t="s">
        <v>22</v>
      </c>
      <c r="B5" s="45"/>
      <c r="C5" s="45"/>
      <c r="D5" s="45"/>
      <c r="E5" s="45"/>
      <c r="F5" s="45"/>
      <c r="G5" s="31"/>
      <c r="H5" s="31"/>
      <c r="I5" s="31"/>
      <c r="J5" s="31"/>
      <c r="K5" s="31"/>
    </row>
    <row r="6" spans="1:6" s="1" customFormat="1" ht="14.25">
      <c r="A6" s="33"/>
      <c r="B6" s="2"/>
      <c r="C6" s="2"/>
      <c r="D6" s="2"/>
      <c r="E6" s="2"/>
      <c r="F6" s="2"/>
    </row>
    <row r="7" spans="1:6" s="1" customFormat="1" ht="12.75">
      <c r="A7" s="22"/>
      <c r="B7" s="4"/>
      <c r="C7" s="4"/>
      <c r="D7" s="5"/>
      <c r="E7" s="6"/>
      <c r="F7" s="5"/>
    </row>
    <row r="8" spans="1:6" s="7" customFormat="1" ht="14.25" customHeight="1">
      <c r="A8" s="46" t="s">
        <v>16</v>
      </c>
      <c r="B8" s="47"/>
      <c r="C8" s="47"/>
      <c r="D8" s="47"/>
      <c r="E8" s="47"/>
      <c r="F8" s="48"/>
    </row>
    <row r="9" spans="1:6" s="1" customFormat="1" ht="9" customHeight="1">
      <c r="A9" s="22"/>
      <c r="B9" s="4"/>
      <c r="C9" s="4"/>
      <c r="D9" s="5"/>
      <c r="E9" s="6"/>
      <c r="F9" s="5"/>
    </row>
    <row r="10" spans="1:6" s="12" customFormat="1" ht="12">
      <c r="A10" s="34"/>
      <c r="B10" s="10" t="s">
        <v>0</v>
      </c>
      <c r="C10" s="10" t="s">
        <v>0</v>
      </c>
      <c r="D10" s="10"/>
      <c r="E10" s="11" t="s">
        <v>1</v>
      </c>
      <c r="F10" s="10" t="s">
        <v>2</v>
      </c>
    </row>
    <row r="11" spans="1:6" s="12" customFormat="1" ht="12">
      <c r="A11" s="35" t="s">
        <v>11</v>
      </c>
      <c r="B11" s="8" t="s">
        <v>3</v>
      </c>
      <c r="C11" s="8" t="s">
        <v>4</v>
      </c>
      <c r="D11" s="8" t="s">
        <v>5</v>
      </c>
      <c r="E11" s="14" t="s">
        <v>6</v>
      </c>
      <c r="F11" s="8" t="s">
        <v>7</v>
      </c>
    </row>
    <row r="13" spans="1:6" ht="12.75">
      <c r="A13" s="22">
        <v>37716</v>
      </c>
      <c r="B13" s="15">
        <v>0</v>
      </c>
      <c r="C13" s="15">
        <v>0</v>
      </c>
      <c r="D13" s="15">
        <v>0</v>
      </c>
      <c r="E13" s="16">
        <v>0</v>
      </c>
      <c r="F13" s="15">
        <v>0</v>
      </c>
    </row>
    <row r="14" spans="1:6" ht="12.75">
      <c r="A14" s="22">
        <f>+A13+7</f>
        <v>37723</v>
      </c>
      <c r="B14" s="15">
        <v>0</v>
      </c>
      <c r="C14" s="15">
        <v>0</v>
      </c>
      <c r="D14" s="15">
        <v>0</v>
      </c>
      <c r="E14" s="16">
        <v>0</v>
      </c>
      <c r="F14" s="15">
        <v>0</v>
      </c>
    </row>
    <row r="15" spans="1:6" ht="12.75">
      <c r="A15" s="22">
        <f aca="true" t="shared" si="0" ref="A15:A55">+A14+7</f>
        <v>37730</v>
      </c>
      <c r="B15" s="15">
        <v>0</v>
      </c>
      <c r="C15" s="15">
        <v>0</v>
      </c>
      <c r="D15" s="15">
        <v>0</v>
      </c>
      <c r="E15" s="16">
        <v>0</v>
      </c>
      <c r="F15" s="15">
        <v>0</v>
      </c>
    </row>
    <row r="16" spans="1:6" ht="12.75">
      <c r="A16" s="22">
        <f t="shared" si="0"/>
        <v>37737</v>
      </c>
      <c r="B16" s="15">
        <v>0</v>
      </c>
      <c r="C16" s="15">
        <v>0</v>
      </c>
      <c r="D16" s="15">
        <v>0</v>
      </c>
      <c r="E16" s="16">
        <v>0</v>
      </c>
      <c r="F16" s="15">
        <v>0</v>
      </c>
    </row>
    <row r="17" spans="1:6" ht="12.75">
      <c r="A17" s="22">
        <f t="shared" si="0"/>
        <v>37744</v>
      </c>
      <c r="B17" s="15">
        <v>0</v>
      </c>
      <c r="C17" s="15">
        <v>0</v>
      </c>
      <c r="D17" s="15">
        <v>0</v>
      </c>
      <c r="E17" s="16">
        <v>0</v>
      </c>
      <c r="F17" s="15">
        <v>0</v>
      </c>
    </row>
    <row r="18" spans="1:6" ht="12.75">
      <c r="A18" s="22">
        <f t="shared" si="0"/>
        <v>37751</v>
      </c>
      <c r="B18" s="15">
        <v>0</v>
      </c>
      <c r="C18" s="15">
        <v>0</v>
      </c>
      <c r="D18" s="15">
        <v>0</v>
      </c>
      <c r="E18" s="16">
        <v>0</v>
      </c>
      <c r="F18" s="15">
        <v>0</v>
      </c>
    </row>
    <row r="19" spans="1:6" ht="12.75">
      <c r="A19" s="22">
        <f t="shared" si="0"/>
        <v>37758</v>
      </c>
      <c r="B19" s="15">
        <v>0</v>
      </c>
      <c r="C19" s="15">
        <v>0</v>
      </c>
      <c r="D19" s="15">
        <v>0</v>
      </c>
      <c r="E19" s="16">
        <v>0</v>
      </c>
      <c r="F19" s="15">
        <v>0</v>
      </c>
    </row>
    <row r="20" spans="1:6" ht="12.75">
      <c r="A20" s="22">
        <f t="shared" si="0"/>
        <v>37765</v>
      </c>
      <c r="B20" s="15">
        <v>0</v>
      </c>
      <c r="C20" s="15">
        <v>0</v>
      </c>
      <c r="D20" s="15">
        <v>0</v>
      </c>
      <c r="E20" s="16">
        <v>0</v>
      </c>
      <c r="F20" s="15">
        <v>0</v>
      </c>
    </row>
    <row r="21" spans="1:6" ht="12.75">
      <c r="A21" s="22">
        <f t="shared" si="0"/>
        <v>37772</v>
      </c>
      <c r="B21" s="15">
        <v>0</v>
      </c>
      <c r="C21" s="15">
        <v>0</v>
      </c>
      <c r="D21" s="15">
        <v>0</v>
      </c>
      <c r="E21" s="16">
        <v>0</v>
      </c>
      <c r="F21" s="15">
        <v>0</v>
      </c>
    </row>
    <row r="22" spans="1:6" ht="12.75">
      <c r="A22" s="22">
        <f t="shared" si="0"/>
        <v>37779</v>
      </c>
      <c r="B22" s="15">
        <v>0</v>
      </c>
      <c r="C22" s="15">
        <v>0</v>
      </c>
      <c r="D22" s="15">
        <v>0</v>
      </c>
      <c r="E22" s="16">
        <v>0</v>
      </c>
      <c r="F22" s="15">
        <v>0</v>
      </c>
    </row>
    <row r="23" spans="1:6" ht="12.75">
      <c r="A23" s="22">
        <f t="shared" si="0"/>
        <v>37786</v>
      </c>
      <c r="B23" s="15">
        <v>0</v>
      </c>
      <c r="C23" s="15">
        <v>0</v>
      </c>
      <c r="D23" s="15">
        <v>0</v>
      </c>
      <c r="E23" s="16">
        <v>0</v>
      </c>
      <c r="F23" s="15">
        <v>0</v>
      </c>
    </row>
    <row r="24" spans="1:6" ht="12.75">
      <c r="A24" s="22">
        <f t="shared" si="0"/>
        <v>37793</v>
      </c>
      <c r="B24" s="15">
        <v>0</v>
      </c>
      <c r="C24" s="15">
        <v>0</v>
      </c>
      <c r="D24" s="15">
        <v>0</v>
      </c>
      <c r="E24" s="16">
        <v>0</v>
      </c>
      <c r="F24" s="15">
        <v>0</v>
      </c>
    </row>
    <row r="25" spans="1:6" ht="12.75">
      <c r="A25" s="22">
        <f t="shared" si="0"/>
        <v>37800</v>
      </c>
      <c r="B25" s="15">
        <v>0</v>
      </c>
      <c r="C25" s="15">
        <v>0</v>
      </c>
      <c r="D25" s="15">
        <v>0</v>
      </c>
      <c r="E25" s="16">
        <v>0</v>
      </c>
      <c r="F25" s="15">
        <v>0</v>
      </c>
    </row>
    <row r="26" spans="1:6" ht="12.75">
      <c r="A26" s="22">
        <f t="shared" si="0"/>
        <v>37807</v>
      </c>
      <c r="B26" s="15">
        <v>0</v>
      </c>
      <c r="C26" s="15">
        <v>0</v>
      </c>
      <c r="D26" s="15">
        <v>0</v>
      </c>
      <c r="E26" s="16">
        <v>0</v>
      </c>
      <c r="F26" s="15">
        <v>0</v>
      </c>
    </row>
    <row r="27" spans="1:6" ht="12.75">
      <c r="A27" s="22">
        <f t="shared" si="0"/>
        <v>37814</v>
      </c>
      <c r="B27" s="15">
        <v>0</v>
      </c>
      <c r="C27" s="15">
        <v>0</v>
      </c>
      <c r="D27" s="15">
        <v>0</v>
      </c>
      <c r="E27" s="16">
        <v>0</v>
      </c>
      <c r="F27" s="15">
        <v>0</v>
      </c>
    </row>
    <row r="28" spans="1:6" ht="12.75">
      <c r="A28" s="22">
        <f t="shared" si="0"/>
        <v>37821</v>
      </c>
      <c r="B28" s="15">
        <v>0</v>
      </c>
      <c r="C28" s="15">
        <v>0</v>
      </c>
      <c r="D28" s="15">
        <v>0</v>
      </c>
      <c r="E28" s="16">
        <v>0</v>
      </c>
      <c r="F28" s="15">
        <v>0</v>
      </c>
    </row>
    <row r="29" spans="1:6" ht="12.75">
      <c r="A29" s="22">
        <f t="shared" si="0"/>
        <v>37828</v>
      </c>
      <c r="B29" s="15">
        <v>0</v>
      </c>
      <c r="C29" s="15">
        <v>0</v>
      </c>
      <c r="D29" s="15">
        <v>0</v>
      </c>
      <c r="E29" s="16">
        <v>0</v>
      </c>
      <c r="F29" s="15">
        <v>0</v>
      </c>
    </row>
    <row r="30" spans="1:6" ht="12.75">
      <c r="A30" s="22">
        <f t="shared" si="0"/>
        <v>37835</v>
      </c>
      <c r="B30" s="15">
        <v>0</v>
      </c>
      <c r="C30" s="15">
        <v>0</v>
      </c>
      <c r="D30" s="15">
        <v>0</v>
      </c>
      <c r="E30" s="16">
        <v>0</v>
      </c>
      <c r="F30" s="15">
        <v>0</v>
      </c>
    </row>
    <row r="31" spans="1:6" ht="12.75">
      <c r="A31" s="22">
        <f t="shared" si="0"/>
        <v>37842</v>
      </c>
      <c r="B31" s="15">
        <v>0</v>
      </c>
      <c r="C31" s="15">
        <v>0</v>
      </c>
      <c r="D31" s="15">
        <v>0</v>
      </c>
      <c r="E31" s="16">
        <v>0</v>
      </c>
      <c r="F31" s="15">
        <v>0</v>
      </c>
    </row>
    <row r="32" spans="1:6" ht="12.75">
      <c r="A32" s="22">
        <f t="shared" si="0"/>
        <v>37849</v>
      </c>
      <c r="B32" s="15">
        <v>0</v>
      </c>
      <c r="C32" s="15">
        <v>0</v>
      </c>
      <c r="D32" s="15">
        <v>0</v>
      </c>
      <c r="E32" s="16">
        <v>0</v>
      </c>
      <c r="F32" s="15">
        <v>0</v>
      </c>
    </row>
    <row r="33" spans="1:6" ht="12.75">
      <c r="A33" s="22">
        <f t="shared" si="0"/>
        <v>37856</v>
      </c>
      <c r="B33" s="15">
        <v>0</v>
      </c>
      <c r="C33" s="15">
        <v>0</v>
      </c>
      <c r="D33" s="15">
        <v>0</v>
      </c>
      <c r="E33" s="16">
        <v>0</v>
      </c>
      <c r="F33" s="15">
        <v>0</v>
      </c>
    </row>
    <row r="34" spans="1:6" ht="12.75">
      <c r="A34" s="22">
        <f t="shared" si="0"/>
        <v>37863</v>
      </c>
      <c r="B34" s="15">
        <v>0</v>
      </c>
      <c r="C34" s="15">
        <v>0</v>
      </c>
      <c r="D34" s="15">
        <v>0</v>
      </c>
      <c r="E34" s="16">
        <v>0</v>
      </c>
      <c r="F34" s="15">
        <v>0</v>
      </c>
    </row>
    <row r="35" spans="1:6" ht="12.75">
      <c r="A35" s="22">
        <f t="shared" si="0"/>
        <v>37870</v>
      </c>
      <c r="B35" s="15">
        <v>0</v>
      </c>
      <c r="C35" s="15">
        <v>0</v>
      </c>
      <c r="D35" s="15">
        <v>0</v>
      </c>
      <c r="E35" s="16">
        <v>0</v>
      </c>
      <c r="F35" s="15">
        <v>0</v>
      </c>
    </row>
    <row r="36" spans="1:6" ht="12.75">
      <c r="A36" s="22">
        <f t="shared" si="0"/>
        <v>37877</v>
      </c>
      <c r="B36" s="15">
        <v>0</v>
      </c>
      <c r="C36" s="15">
        <v>0</v>
      </c>
      <c r="D36" s="15">
        <v>0</v>
      </c>
      <c r="E36" s="16">
        <v>0</v>
      </c>
      <c r="F36" s="15">
        <v>0</v>
      </c>
    </row>
    <row r="37" spans="1:6" ht="12.75">
      <c r="A37" s="22">
        <f t="shared" si="0"/>
        <v>37884</v>
      </c>
      <c r="B37" s="15">
        <v>0</v>
      </c>
      <c r="C37" s="15">
        <v>0</v>
      </c>
      <c r="D37" s="15">
        <v>0</v>
      </c>
      <c r="E37" s="16">
        <v>0</v>
      </c>
      <c r="F37" s="15">
        <v>0</v>
      </c>
    </row>
    <row r="38" spans="1:6" ht="12.75">
      <c r="A38" s="22">
        <f t="shared" si="0"/>
        <v>37891</v>
      </c>
      <c r="B38" s="15">
        <v>0</v>
      </c>
      <c r="C38" s="15">
        <v>0</v>
      </c>
      <c r="D38" s="15">
        <v>0</v>
      </c>
      <c r="E38" s="16">
        <v>0</v>
      </c>
      <c r="F38" s="15">
        <v>0</v>
      </c>
    </row>
    <row r="39" spans="1:6" ht="12.75">
      <c r="A39" s="22">
        <f t="shared" si="0"/>
        <v>37898</v>
      </c>
      <c r="B39" s="15">
        <v>0</v>
      </c>
      <c r="C39" s="15">
        <v>0</v>
      </c>
      <c r="D39" s="15">
        <v>0</v>
      </c>
      <c r="E39" s="16">
        <v>0</v>
      </c>
      <c r="F39" s="15">
        <v>0</v>
      </c>
    </row>
    <row r="40" spans="1:6" ht="12.75">
      <c r="A40" s="22">
        <f t="shared" si="0"/>
        <v>37905</v>
      </c>
      <c r="B40" s="15">
        <v>0</v>
      </c>
      <c r="C40" s="15">
        <v>0</v>
      </c>
      <c r="D40" s="15">
        <v>0</v>
      </c>
      <c r="E40" s="16">
        <v>0</v>
      </c>
      <c r="F40" s="15">
        <v>0</v>
      </c>
    </row>
    <row r="41" spans="1:6" ht="12.75">
      <c r="A41" s="22">
        <f t="shared" si="0"/>
        <v>37912</v>
      </c>
      <c r="B41" s="15">
        <v>0</v>
      </c>
      <c r="C41" s="15">
        <v>0</v>
      </c>
      <c r="D41" s="15">
        <v>0</v>
      </c>
      <c r="E41" s="16">
        <v>0</v>
      </c>
      <c r="F41" s="15">
        <v>0</v>
      </c>
    </row>
    <row r="42" spans="1:6" ht="12.75">
      <c r="A42" s="22">
        <f t="shared" si="0"/>
        <v>37919</v>
      </c>
      <c r="B42" s="15">
        <v>0</v>
      </c>
      <c r="C42" s="15">
        <v>0</v>
      </c>
      <c r="D42" s="15">
        <v>0</v>
      </c>
      <c r="E42" s="16">
        <v>0</v>
      </c>
      <c r="F42" s="15">
        <v>0</v>
      </c>
    </row>
    <row r="43" spans="1:6" ht="12.75">
      <c r="A43" s="22">
        <f t="shared" si="0"/>
        <v>37926</v>
      </c>
      <c r="B43" s="15">
        <v>0</v>
      </c>
      <c r="C43" s="15">
        <v>0</v>
      </c>
      <c r="D43" s="15">
        <v>0</v>
      </c>
      <c r="E43" s="16">
        <v>0</v>
      </c>
      <c r="F43" s="15">
        <v>0</v>
      </c>
    </row>
    <row r="44" spans="1:6" ht="12.75">
      <c r="A44" s="22">
        <f t="shared" si="0"/>
        <v>37933</v>
      </c>
      <c r="B44" s="15">
        <v>0</v>
      </c>
      <c r="C44" s="15">
        <v>0</v>
      </c>
      <c r="D44" s="15">
        <v>0</v>
      </c>
      <c r="E44" s="16">
        <v>0</v>
      </c>
      <c r="F44" s="15">
        <v>0</v>
      </c>
    </row>
    <row r="45" spans="1:6" ht="12.75">
      <c r="A45" s="22">
        <f t="shared" si="0"/>
        <v>37940</v>
      </c>
      <c r="B45" s="15">
        <v>0</v>
      </c>
      <c r="C45" s="15">
        <v>0</v>
      </c>
      <c r="D45" s="15">
        <v>0</v>
      </c>
      <c r="E45" s="16">
        <v>0</v>
      </c>
      <c r="F45" s="15">
        <v>0</v>
      </c>
    </row>
    <row r="46" spans="1:6" ht="12.75">
      <c r="A46" s="22">
        <f t="shared" si="0"/>
        <v>37947</v>
      </c>
      <c r="B46" s="15">
        <v>0</v>
      </c>
      <c r="C46" s="15">
        <v>0</v>
      </c>
      <c r="D46" s="15">
        <v>0</v>
      </c>
      <c r="E46" s="16">
        <v>0</v>
      </c>
      <c r="F46" s="15">
        <v>0</v>
      </c>
    </row>
    <row r="47" spans="1:6" ht="12.75">
      <c r="A47" s="22">
        <f t="shared" si="0"/>
        <v>37954</v>
      </c>
      <c r="B47" s="15">
        <v>0</v>
      </c>
      <c r="C47" s="15">
        <v>0</v>
      </c>
      <c r="D47" s="15">
        <v>0</v>
      </c>
      <c r="E47" s="16">
        <v>0</v>
      </c>
      <c r="F47" s="15">
        <v>0</v>
      </c>
    </row>
    <row r="48" spans="1:6" ht="12.75">
      <c r="A48" s="22">
        <f t="shared" si="0"/>
        <v>37961</v>
      </c>
      <c r="B48" s="15">
        <v>0</v>
      </c>
      <c r="C48" s="15">
        <v>0</v>
      </c>
      <c r="D48" s="15">
        <v>0</v>
      </c>
      <c r="E48" s="16">
        <v>0</v>
      </c>
      <c r="F48" s="15">
        <v>0</v>
      </c>
    </row>
    <row r="49" spans="1:6" ht="12.75">
      <c r="A49" s="22">
        <f t="shared" si="0"/>
        <v>37968</v>
      </c>
      <c r="B49" s="15">
        <v>0</v>
      </c>
      <c r="C49" s="15">
        <v>0</v>
      </c>
      <c r="D49" s="15">
        <v>0</v>
      </c>
      <c r="E49" s="16">
        <v>0</v>
      </c>
      <c r="F49" s="15">
        <v>0</v>
      </c>
    </row>
    <row r="50" spans="1:6" ht="12.75">
      <c r="A50" s="22">
        <f t="shared" si="0"/>
        <v>37975</v>
      </c>
      <c r="B50" s="15">
        <v>0</v>
      </c>
      <c r="C50" s="15">
        <v>0</v>
      </c>
      <c r="D50" s="15">
        <v>0</v>
      </c>
      <c r="E50" s="16">
        <v>0</v>
      </c>
      <c r="F50" s="15">
        <v>0</v>
      </c>
    </row>
    <row r="51" spans="1:6" ht="12.75">
      <c r="A51" s="22">
        <f t="shared" si="0"/>
        <v>37982</v>
      </c>
      <c r="B51" s="15">
        <v>0</v>
      </c>
      <c r="C51" s="15">
        <v>0</v>
      </c>
      <c r="D51" s="15">
        <v>0</v>
      </c>
      <c r="E51" s="16">
        <v>0</v>
      </c>
      <c r="F51" s="15">
        <v>0</v>
      </c>
    </row>
    <row r="52" spans="1:6" ht="12.75">
      <c r="A52" s="22">
        <f t="shared" si="0"/>
        <v>37989</v>
      </c>
      <c r="B52" s="15">
        <v>0</v>
      </c>
      <c r="C52" s="15">
        <v>0</v>
      </c>
      <c r="D52" s="15">
        <v>0</v>
      </c>
      <c r="E52" s="16">
        <v>0</v>
      </c>
      <c r="F52" s="15">
        <v>0</v>
      </c>
    </row>
    <row r="53" spans="1:6" ht="12.75">
      <c r="A53" s="22">
        <f t="shared" si="0"/>
        <v>37996</v>
      </c>
      <c r="B53" s="15">
        <v>0</v>
      </c>
      <c r="C53" s="15">
        <v>0</v>
      </c>
      <c r="D53" s="15">
        <v>0</v>
      </c>
      <c r="E53" s="16">
        <v>0</v>
      </c>
      <c r="F53" s="15">
        <v>0</v>
      </c>
    </row>
    <row r="54" spans="1:6" ht="12.75">
      <c r="A54" s="22">
        <f t="shared" si="0"/>
        <v>38003</v>
      </c>
      <c r="B54" s="15">
        <v>0</v>
      </c>
      <c r="C54" s="15">
        <v>0</v>
      </c>
      <c r="D54" s="15">
        <v>0</v>
      </c>
      <c r="E54" s="16">
        <v>0</v>
      </c>
      <c r="F54" s="15">
        <v>0</v>
      </c>
    </row>
    <row r="55" spans="1:6" ht="12.75">
      <c r="A55" s="22">
        <f t="shared" si="0"/>
        <v>38010</v>
      </c>
      <c r="B55" s="15">
        <v>0</v>
      </c>
      <c r="C55" s="15">
        <v>0</v>
      </c>
      <c r="D55" s="15">
        <v>0</v>
      </c>
      <c r="E55" s="16">
        <v>0</v>
      </c>
      <c r="F55" s="15">
        <v>0</v>
      </c>
    </row>
    <row r="56" spans="1:6" ht="12.75">
      <c r="A56" s="36">
        <v>38017</v>
      </c>
      <c r="B56" s="15">
        <v>0</v>
      </c>
      <c r="C56" s="15">
        <v>0</v>
      </c>
      <c r="D56" s="15">
        <v>0</v>
      </c>
      <c r="E56" s="16">
        <v>0</v>
      </c>
      <c r="F56" s="15">
        <v>0</v>
      </c>
    </row>
    <row r="57" spans="1:6" ht="12.75">
      <c r="A57" s="36">
        <v>38024</v>
      </c>
      <c r="B57" s="15">
        <v>0</v>
      </c>
      <c r="C57" s="15">
        <v>0</v>
      </c>
      <c r="D57" s="15">
        <v>0</v>
      </c>
      <c r="E57" s="16">
        <v>0</v>
      </c>
      <c r="F57" s="15">
        <v>0</v>
      </c>
    </row>
    <row r="58" spans="1:6" ht="12.75">
      <c r="A58" s="36">
        <v>38031</v>
      </c>
      <c r="B58" s="15">
        <v>0</v>
      </c>
      <c r="C58" s="15">
        <v>0</v>
      </c>
      <c r="D58" s="15">
        <v>0</v>
      </c>
      <c r="E58" s="16">
        <v>0</v>
      </c>
      <c r="F58" s="15">
        <v>0</v>
      </c>
    </row>
    <row r="59" spans="1:6" ht="12.75">
      <c r="A59" s="36">
        <v>38038</v>
      </c>
      <c r="B59" s="15">
        <v>0</v>
      </c>
      <c r="C59" s="15">
        <v>0</v>
      </c>
      <c r="D59" s="15">
        <v>0</v>
      </c>
      <c r="E59" s="16">
        <v>0</v>
      </c>
      <c r="F59" s="15">
        <v>0</v>
      </c>
    </row>
    <row r="60" spans="1:6" ht="12.75">
      <c r="A60" s="36">
        <v>38045</v>
      </c>
      <c r="B60" s="15">
        <v>0</v>
      </c>
      <c r="C60" s="15">
        <v>0</v>
      </c>
      <c r="D60" s="15">
        <v>0</v>
      </c>
      <c r="E60" s="16">
        <v>0</v>
      </c>
      <c r="F60" s="15">
        <v>0</v>
      </c>
    </row>
    <row r="61" spans="1:6" ht="12.75">
      <c r="A61" s="36">
        <v>38052</v>
      </c>
      <c r="B61" s="15">
        <v>0</v>
      </c>
      <c r="C61" s="15">
        <v>0</v>
      </c>
      <c r="D61" s="15">
        <v>0</v>
      </c>
      <c r="E61" s="16">
        <v>0</v>
      </c>
      <c r="F61" s="15">
        <v>0</v>
      </c>
    </row>
    <row r="62" spans="1:6" ht="12.75">
      <c r="A62" s="36">
        <v>38059</v>
      </c>
      <c r="B62" s="15">
        <v>0</v>
      </c>
      <c r="C62" s="15">
        <v>0</v>
      </c>
      <c r="D62" s="15">
        <v>0</v>
      </c>
      <c r="E62" s="16">
        <v>0</v>
      </c>
      <c r="F62" s="15">
        <v>0</v>
      </c>
    </row>
    <row r="63" spans="1:6" ht="12.75">
      <c r="A63" s="36">
        <v>38066</v>
      </c>
      <c r="B63" s="15">
        <v>9525059.24</v>
      </c>
      <c r="C63" s="15">
        <f>+B63-D63</f>
        <v>8753629.2</v>
      </c>
      <c r="D63" s="15">
        <v>771430.04</v>
      </c>
      <c r="E63" s="16">
        <v>990</v>
      </c>
      <c r="F63" s="15">
        <v>194.80556565656568</v>
      </c>
    </row>
    <row r="64" spans="1:6" ht="12.75">
      <c r="A64" s="36">
        <v>38073</v>
      </c>
      <c r="B64" s="15">
        <v>10868531.9</v>
      </c>
      <c r="C64" s="15">
        <f>+B64-D64</f>
        <v>10000012.77</v>
      </c>
      <c r="D64" s="15">
        <v>868519.13</v>
      </c>
      <c r="E64" s="16">
        <v>990</v>
      </c>
      <c r="F64" s="15">
        <v>125.32743578643577</v>
      </c>
    </row>
    <row r="65" ht="12.75">
      <c r="A65" s="25"/>
    </row>
    <row r="66" spans="1:6" ht="13.5" thickBot="1">
      <c r="A66" s="22" t="s">
        <v>8</v>
      </c>
      <c r="B66" s="17">
        <v>20393591.14</v>
      </c>
      <c r="C66" s="17">
        <v>18753641.97</v>
      </c>
      <c r="D66" s="17">
        <v>1639949.17</v>
      </c>
      <c r="E66" s="24">
        <v>990</v>
      </c>
      <c r="F66" s="17">
        <v>151</v>
      </c>
    </row>
    <row r="67" spans="1:4" s="21" customFormat="1" ht="13.5" thickTop="1">
      <c r="A67" s="22"/>
      <c r="B67" s="20"/>
      <c r="C67" s="20"/>
      <c r="D67" s="20"/>
    </row>
  </sheetData>
  <sheetProtection/>
  <mergeCells count="6">
    <mergeCell ref="A5:F5"/>
    <mergeCell ref="A8:F8"/>
    <mergeCell ref="A1:F1"/>
    <mergeCell ref="A2:F2"/>
    <mergeCell ref="A3:F3"/>
    <mergeCell ref="A4:F4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15.7109375" style="22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0" s="26" customFormat="1" ht="18">
      <c r="A1" s="42" t="s">
        <v>30</v>
      </c>
      <c r="B1" s="42"/>
      <c r="C1" s="42"/>
      <c r="D1" s="42"/>
      <c r="E1" s="42"/>
      <c r="F1" s="42"/>
      <c r="G1" s="42"/>
      <c r="H1" s="28"/>
      <c r="I1" s="28"/>
      <c r="J1" s="28"/>
    </row>
    <row r="2" spans="1:10" s="26" customFormat="1" ht="15">
      <c r="A2" s="43" t="s">
        <v>19</v>
      </c>
      <c r="B2" s="43"/>
      <c r="C2" s="43"/>
      <c r="D2" s="43"/>
      <c r="E2" s="43"/>
      <c r="F2" s="43"/>
      <c r="G2" s="43"/>
      <c r="H2" s="29"/>
      <c r="I2" s="29"/>
      <c r="J2" s="29"/>
    </row>
    <row r="3" spans="1:10" s="27" customFormat="1" ht="15">
      <c r="A3" s="43" t="s">
        <v>20</v>
      </c>
      <c r="B3" s="43"/>
      <c r="C3" s="43"/>
      <c r="D3" s="43"/>
      <c r="E3" s="43"/>
      <c r="F3" s="43"/>
      <c r="G3" s="43"/>
      <c r="H3" s="29"/>
      <c r="I3" s="29"/>
      <c r="J3" s="29"/>
    </row>
    <row r="4" spans="1:10" s="27" customFormat="1" ht="14.25">
      <c r="A4" s="44" t="s">
        <v>21</v>
      </c>
      <c r="B4" s="44"/>
      <c r="C4" s="44"/>
      <c r="D4" s="44"/>
      <c r="E4" s="44"/>
      <c r="F4" s="44"/>
      <c r="G4" s="44"/>
      <c r="H4" s="32"/>
      <c r="I4" s="30"/>
      <c r="J4" s="30"/>
    </row>
    <row r="5" spans="1:10" s="27" customFormat="1" ht="14.25">
      <c r="A5" s="45" t="s">
        <v>22</v>
      </c>
      <c r="B5" s="45"/>
      <c r="C5" s="45"/>
      <c r="D5" s="45"/>
      <c r="E5" s="45"/>
      <c r="F5" s="45"/>
      <c r="G5" s="45"/>
      <c r="H5" s="31"/>
      <c r="I5" s="31"/>
      <c r="J5" s="31"/>
    </row>
    <row r="6" spans="1:7" s="1" customFormat="1" ht="14.25">
      <c r="A6" s="33"/>
      <c r="B6" s="2"/>
      <c r="C6" s="2"/>
      <c r="D6" s="2"/>
      <c r="E6" s="2"/>
      <c r="F6" s="2"/>
      <c r="G6" s="2"/>
    </row>
    <row r="7" spans="1:7" s="7" customFormat="1" ht="14.25" customHeight="1">
      <c r="A7" s="46" t="s">
        <v>39</v>
      </c>
      <c r="B7" s="47"/>
      <c r="C7" s="47"/>
      <c r="D7" s="47"/>
      <c r="E7" s="47"/>
      <c r="F7" s="47"/>
      <c r="G7" s="48"/>
    </row>
    <row r="8" spans="1:7" s="1" customFormat="1" ht="9" customHeight="1">
      <c r="A8" s="22"/>
      <c r="B8" s="4"/>
      <c r="C8" s="4"/>
      <c r="D8" s="4"/>
      <c r="E8" s="5"/>
      <c r="F8" s="6"/>
      <c r="G8" s="5"/>
    </row>
    <row r="9" spans="1:7" s="12" customFormat="1" ht="12">
      <c r="A9" s="34"/>
      <c r="B9" s="10" t="s">
        <v>0</v>
      </c>
      <c r="C9" s="10" t="s">
        <v>26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35" t="s">
        <v>11</v>
      </c>
      <c r="B10" s="8" t="s">
        <v>3</v>
      </c>
      <c r="C10" s="8" t="s">
        <v>28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2">
        <v>44653</v>
      </c>
      <c r="B12" s="18">
        <v>21453688.24</v>
      </c>
      <c r="C12" s="18">
        <v>198744.28</v>
      </c>
      <c r="D12" s="18">
        <f aca="true" t="shared" si="0" ref="D12:D63">IF(ISBLANK(B12),"",B12-C12-E12)</f>
        <v>19698422.259999998</v>
      </c>
      <c r="E12" s="18">
        <v>1556521.7000000004</v>
      </c>
      <c r="F12" s="39">
        <v>929</v>
      </c>
      <c r="G12" s="18">
        <f>IF(ISBLANK(B12),"",E12/F12/7)</f>
        <v>239.3544056589267</v>
      </c>
    </row>
    <row r="13" spans="1:7" ht="12.75">
      <c r="A13" s="22">
        <f aca="true" t="shared" si="1" ref="A13:A63">+A12+7</f>
        <v>44660</v>
      </c>
      <c r="B13" s="18">
        <v>19792060.23</v>
      </c>
      <c r="C13" s="18">
        <v>174778.47</v>
      </c>
      <c r="D13" s="18">
        <f>IF(ISBLANK(B13),"",B13-C13-E13)</f>
        <v>18193197.060000002</v>
      </c>
      <c r="E13" s="18">
        <v>1424084.7000000007</v>
      </c>
      <c r="F13" s="39">
        <v>929</v>
      </c>
      <c r="G13" s="18">
        <f>IF(ISBLANK(B13),"",E13/F13/7)</f>
        <v>218.98888205443652</v>
      </c>
    </row>
    <row r="14" spans="1:7" ht="12.75">
      <c r="A14" s="22">
        <f t="shared" si="1"/>
        <v>44667</v>
      </c>
      <c r="B14" s="18">
        <v>19526691.72</v>
      </c>
      <c r="C14" s="18">
        <v>185238.1</v>
      </c>
      <c r="D14" s="18">
        <f t="shared" si="0"/>
        <v>17910197.919999998</v>
      </c>
      <c r="E14" s="18">
        <v>1431255.7000000007</v>
      </c>
      <c r="F14" s="39">
        <v>929</v>
      </c>
      <c r="G14" s="18">
        <f>IF(ISBLANK(B14),"",E14/F14/7)</f>
        <v>220.09160387513467</v>
      </c>
    </row>
    <row r="15" spans="1:7" ht="12.75">
      <c r="A15" s="22">
        <f t="shared" si="1"/>
        <v>44674</v>
      </c>
      <c r="B15" s="18">
        <v>20849743.68</v>
      </c>
      <c r="C15" s="18">
        <v>165058.16999999998</v>
      </c>
      <c r="D15" s="18">
        <f>IF(ISBLANK(B15),"",B15-C15-E15)</f>
        <v>19169851.139999997</v>
      </c>
      <c r="E15" s="18">
        <v>1514834.3699999994</v>
      </c>
      <c r="F15" s="39">
        <v>929</v>
      </c>
      <c r="G15" s="18">
        <f aca="true" t="shared" si="2" ref="G15:G63">IF(ISBLANK(B15),"",E15/F15/7)</f>
        <v>232.94392895586643</v>
      </c>
    </row>
    <row r="16" spans="1:7" ht="12.75">
      <c r="A16" s="22">
        <f t="shared" si="1"/>
        <v>44681</v>
      </c>
      <c r="B16" s="18">
        <v>19545678.89</v>
      </c>
      <c r="C16" s="18">
        <v>182248.96999999997</v>
      </c>
      <c r="D16" s="18">
        <f>IF(ISBLANK(B16),"",B16-C16-E16)</f>
        <v>18048369.28</v>
      </c>
      <c r="E16" s="18">
        <v>1315060.6400000001</v>
      </c>
      <c r="F16" s="39">
        <v>929</v>
      </c>
      <c r="G16" s="18">
        <f t="shared" si="2"/>
        <v>202.22368752883287</v>
      </c>
    </row>
    <row r="17" spans="1:7" ht="12.75">
      <c r="A17" s="22">
        <f t="shared" si="1"/>
        <v>44688</v>
      </c>
      <c r="B17" s="18">
        <v>20538218.23</v>
      </c>
      <c r="C17" s="18">
        <v>185308.01</v>
      </c>
      <c r="D17" s="18">
        <f aca="true" t="shared" si="3" ref="D17:D35">IF(ISBLANK(B17),"",B17-C17-E17)</f>
        <v>18899870.95</v>
      </c>
      <c r="E17" s="18">
        <v>1453039.2699999996</v>
      </c>
      <c r="F17" s="39">
        <v>929</v>
      </c>
      <c r="G17" s="18">
        <f t="shared" si="2"/>
        <v>223.4413762878671</v>
      </c>
    </row>
    <row r="18" spans="1:7" ht="12.75">
      <c r="A18" s="22">
        <f t="shared" si="1"/>
        <v>44695</v>
      </c>
      <c r="B18" s="18">
        <v>17839272.32</v>
      </c>
      <c r="C18" s="18">
        <v>184807.8</v>
      </c>
      <c r="D18" s="18">
        <f t="shared" si="3"/>
        <v>16313602.209999999</v>
      </c>
      <c r="E18" s="18">
        <v>1340862.3099999998</v>
      </c>
      <c r="F18" s="39">
        <v>929</v>
      </c>
      <c r="G18" s="18">
        <f t="shared" si="2"/>
        <v>206.19134399507917</v>
      </c>
    </row>
    <row r="19" spans="1:7" ht="12.75">
      <c r="A19" s="22">
        <f t="shared" si="1"/>
        <v>44702</v>
      </c>
      <c r="B19" s="18">
        <v>18304085</v>
      </c>
      <c r="C19" s="18">
        <v>111871.25000000003</v>
      </c>
      <c r="D19" s="18">
        <f t="shared" si="3"/>
        <v>16786191.78</v>
      </c>
      <c r="E19" s="18">
        <v>1406021.9700000004</v>
      </c>
      <c r="F19" s="39">
        <v>929</v>
      </c>
      <c r="G19" s="18">
        <f t="shared" si="2"/>
        <v>216.211282485007</v>
      </c>
    </row>
    <row r="20" spans="1:7" ht="12.75">
      <c r="A20" s="22">
        <f t="shared" si="1"/>
        <v>44709</v>
      </c>
      <c r="B20" s="18">
        <v>21783542.57</v>
      </c>
      <c r="C20" s="18">
        <v>209412.7</v>
      </c>
      <c r="D20" s="18">
        <f t="shared" si="3"/>
        <v>19984199.94</v>
      </c>
      <c r="E20" s="18">
        <v>1589929.93</v>
      </c>
      <c r="F20" s="39">
        <v>930</v>
      </c>
      <c r="G20" s="18">
        <f t="shared" si="2"/>
        <v>244.2288678955453</v>
      </c>
    </row>
    <row r="21" spans="1:7" ht="12.75">
      <c r="A21" s="22">
        <f t="shared" si="1"/>
        <v>44716</v>
      </c>
      <c r="B21" s="18">
        <v>20869386.499999996</v>
      </c>
      <c r="C21" s="18">
        <v>288722.27</v>
      </c>
      <c r="D21" s="18">
        <f t="shared" si="3"/>
        <v>19124402.33</v>
      </c>
      <c r="E21" s="18">
        <v>1456261.8999999992</v>
      </c>
      <c r="F21" s="39">
        <v>931</v>
      </c>
      <c r="G21" s="18">
        <f t="shared" si="2"/>
        <v>223.4558692649991</v>
      </c>
    </row>
    <row r="22" spans="1:7" ht="12.75">
      <c r="A22" s="22">
        <f t="shared" si="1"/>
        <v>44723</v>
      </c>
      <c r="B22" s="18">
        <v>19602045.84</v>
      </c>
      <c r="C22" s="18">
        <v>189246.55000000002</v>
      </c>
      <c r="D22" s="18">
        <f t="shared" si="3"/>
        <v>18020108.05</v>
      </c>
      <c r="E22" s="18">
        <v>1392691.24</v>
      </c>
      <c r="F22" s="39">
        <v>931</v>
      </c>
      <c r="G22" s="18">
        <f t="shared" si="2"/>
        <v>213.70127972993708</v>
      </c>
    </row>
    <row r="23" spans="1:7" ht="12.75">
      <c r="A23" s="22">
        <f t="shared" si="1"/>
        <v>44730</v>
      </c>
      <c r="B23" s="18">
        <v>18992676.749999996</v>
      </c>
      <c r="C23" s="18">
        <v>177934.51</v>
      </c>
      <c r="D23" s="18">
        <f t="shared" si="3"/>
        <v>17455865.669999994</v>
      </c>
      <c r="E23" s="18">
        <v>1358876.5700000003</v>
      </c>
      <c r="F23" s="39">
        <v>931</v>
      </c>
      <c r="G23" s="18">
        <f t="shared" si="2"/>
        <v>208.51259321773827</v>
      </c>
    </row>
    <row r="24" spans="1:7" ht="12.75">
      <c r="A24" s="22">
        <f t="shared" si="1"/>
        <v>44737</v>
      </c>
      <c r="B24" s="18">
        <v>18747361.220000003</v>
      </c>
      <c r="C24" s="18">
        <v>179067.31999999998</v>
      </c>
      <c r="D24" s="18">
        <f t="shared" si="3"/>
        <v>17253483.230000004</v>
      </c>
      <c r="E24" s="18">
        <v>1314810.67</v>
      </c>
      <c r="F24" s="39">
        <v>931</v>
      </c>
      <c r="G24" s="18">
        <f t="shared" si="2"/>
        <v>201.75090839343255</v>
      </c>
    </row>
    <row r="25" spans="1:7" ht="12.75">
      <c r="A25" s="22">
        <f t="shared" si="1"/>
        <v>44744</v>
      </c>
      <c r="B25" s="18">
        <v>20781262.42</v>
      </c>
      <c r="C25" s="18">
        <v>164550.96000000002</v>
      </c>
      <c r="D25" s="18">
        <f t="shared" si="3"/>
        <v>18988433.5</v>
      </c>
      <c r="E25" s="18">
        <v>1628277.9600000004</v>
      </c>
      <c r="F25" s="39">
        <v>931</v>
      </c>
      <c r="G25" s="18">
        <f t="shared" si="2"/>
        <v>249.85084548104962</v>
      </c>
    </row>
    <row r="26" spans="1:7" ht="12.75">
      <c r="A26" s="22">
        <f t="shared" si="1"/>
        <v>44751</v>
      </c>
      <c r="B26" s="18">
        <v>20036897.209999997</v>
      </c>
      <c r="C26" s="18">
        <v>258302.38</v>
      </c>
      <c r="D26" s="18">
        <f t="shared" si="3"/>
        <v>18319916.08</v>
      </c>
      <c r="E26" s="18">
        <v>1458678.7499999998</v>
      </c>
      <c r="F26" s="39">
        <v>931</v>
      </c>
      <c r="G26" s="18">
        <f t="shared" si="2"/>
        <v>223.8267224182906</v>
      </c>
    </row>
    <row r="27" spans="1:7" ht="12.75">
      <c r="A27" s="22">
        <f t="shared" si="1"/>
        <v>44758</v>
      </c>
      <c r="B27" s="18">
        <v>17600231.52</v>
      </c>
      <c r="C27" s="18">
        <v>187048.97</v>
      </c>
      <c r="D27" s="18">
        <f t="shared" si="3"/>
        <v>16142044.540000001</v>
      </c>
      <c r="E27" s="18">
        <v>1271138.0099999993</v>
      </c>
      <c r="F27" s="39">
        <v>931</v>
      </c>
      <c r="G27" s="18">
        <f t="shared" si="2"/>
        <v>195.049564216664</v>
      </c>
    </row>
    <row r="28" spans="1:7" ht="12.75">
      <c r="A28" s="22">
        <f t="shared" si="1"/>
        <v>44765</v>
      </c>
      <c r="B28" s="18">
        <v>21352573.74</v>
      </c>
      <c r="C28" s="18">
        <v>232222.13999999998</v>
      </c>
      <c r="D28" s="18">
        <f t="shared" si="3"/>
        <v>19656197.58</v>
      </c>
      <c r="E28" s="18">
        <v>1464154.0200000003</v>
      </c>
      <c r="F28" s="39">
        <v>931</v>
      </c>
      <c r="G28" s="18">
        <f t="shared" si="2"/>
        <v>224.6668743286789</v>
      </c>
    </row>
    <row r="29" spans="1:7" ht="12.75">
      <c r="A29" s="22">
        <f t="shared" si="1"/>
        <v>44772</v>
      </c>
      <c r="B29" s="18">
        <v>19583554.770000003</v>
      </c>
      <c r="C29" s="18">
        <v>119082.31999999998</v>
      </c>
      <c r="D29" s="18">
        <f t="shared" si="3"/>
        <v>17946544.520000003</v>
      </c>
      <c r="E29" s="18">
        <v>1517927.9300000004</v>
      </c>
      <c r="F29" s="39">
        <v>931</v>
      </c>
      <c r="G29" s="18">
        <f t="shared" si="2"/>
        <v>232.91820316096369</v>
      </c>
    </row>
    <row r="30" spans="1:7" ht="12.75">
      <c r="A30" s="22">
        <f t="shared" si="1"/>
        <v>44779</v>
      </c>
      <c r="B30" s="18">
        <v>20285005.32</v>
      </c>
      <c r="C30" s="18">
        <v>199388.66</v>
      </c>
      <c r="D30" s="18">
        <f t="shared" si="3"/>
        <v>18607228.11</v>
      </c>
      <c r="E30" s="18">
        <v>1478388.5499999998</v>
      </c>
      <c r="F30" s="39">
        <v>931</v>
      </c>
      <c r="G30" s="18">
        <f t="shared" si="2"/>
        <v>226.8510894583397</v>
      </c>
    </row>
    <row r="31" spans="1:7" ht="12.75">
      <c r="A31" s="22">
        <f t="shared" si="1"/>
        <v>44786</v>
      </c>
      <c r="B31" s="18">
        <v>15301262.99</v>
      </c>
      <c r="C31" s="18">
        <v>181698.24</v>
      </c>
      <c r="D31" s="18">
        <f t="shared" si="3"/>
        <v>14140946.870000001</v>
      </c>
      <c r="E31" s="18">
        <v>978617.8799999999</v>
      </c>
      <c r="F31" s="39">
        <v>931</v>
      </c>
      <c r="G31" s="18">
        <f t="shared" si="2"/>
        <v>150.16386067208836</v>
      </c>
    </row>
    <row r="32" spans="1:7" ht="12.75">
      <c r="A32" s="22">
        <f t="shared" si="1"/>
        <v>44793</v>
      </c>
      <c r="B32" s="18">
        <v>13705033.81</v>
      </c>
      <c r="C32" s="18">
        <v>170673.19999999998</v>
      </c>
      <c r="D32" s="18">
        <f t="shared" si="3"/>
        <v>12515454.490000002</v>
      </c>
      <c r="E32" s="18">
        <v>1018906.1200000001</v>
      </c>
      <c r="F32" s="39">
        <v>931</v>
      </c>
      <c r="G32" s="18">
        <f t="shared" si="2"/>
        <v>156.34588307503455</v>
      </c>
    </row>
    <row r="33" spans="1:7" ht="12.75">
      <c r="A33" s="22">
        <f t="shared" si="1"/>
        <v>44800</v>
      </c>
      <c r="B33" s="18">
        <v>19151697.76</v>
      </c>
      <c r="C33" s="18">
        <v>203975.63999999998</v>
      </c>
      <c r="D33" s="18">
        <f t="shared" si="3"/>
        <v>17583269.86</v>
      </c>
      <c r="E33" s="18">
        <v>1364452.26</v>
      </c>
      <c r="F33" s="39">
        <v>931</v>
      </c>
      <c r="G33" s="18">
        <f t="shared" si="2"/>
        <v>209.36815405861594</v>
      </c>
    </row>
    <row r="34" spans="1:7" ht="12.75">
      <c r="A34" s="22">
        <f t="shared" si="1"/>
        <v>44807</v>
      </c>
      <c r="B34" s="18">
        <v>20208558.21</v>
      </c>
      <c r="C34" s="18">
        <v>144862.31</v>
      </c>
      <c r="D34" s="18">
        <f t="shared" si="3"/>
        <v>18480689.500000004</v>
      </c>
      <c r="E34" s="18">
        <v>1583006.4</v>
      </c>
      <c r="F34" s="39">
        <v>931</v>
      </c>
      <c r="G34" s="18">
        <f t="shared" si="2"/>
        <v>242.90415835507133</v>
      </c>
    </row>
    <row r="35" spans="1:7" ht="12.75">
      <c r="A35" s="22">
        <f t="shared" si="1"/>
        <v>44814</v>
      </c>
      <c r="B35" s="18">
        <v>21503604.720000003</v>
      </c>
      <c r="C35" s="18">
        <v>257854.74000000002</v>
      </c>
      <c r="D35" s="18">
        <f t="shared" si="3"/>
        <v>19813919.620000005</v>
      </c>
      <c r="E35" s="18">
        <v>1431830.3599999999</v>
      </c>
      <c r="F35" s="39">
        <v>931</v>
      </c>
      <c r="G35" s="18">
        <f t="shared" si="2"/>
        <v>219.70697560227094</v>
      </c>
    </row>
    <row r="36" spans="1:7" ht="12.75">
      <c r="A36" s="22">
        <f t="shared" si="1"/>
        <v>44821</v>
      </c>
      <c r="B36" s="18">
        <v>18615465.3</v>
      </c>
      <c r="C36" s="18">
        <v>283761.36000000004</v>
      </c>
      <c r="D36" s="18">
        <f t="shared" si="0"/>
        <v>17077765.03</v>
      </c>
      <c r="E36" s="18">
        <v>1253938.9100000001</v>
      </c>
      <c r="F36" s="39">
        <v>931</v>
      </c>
      <c r="G36" s="18">
        <f t="shared" si="2"/>
        <v>192.41045112781958</v>
      </c>
    </row>
    <row r="37" spans="1:7" ht="12.75">
      <c r="A37" s="22">
        <f t="shared" si="1"/>
        <v>44828</v>
      </c>
      <c r="B37" s="18">
        <v>18106196.88</v>
      </c>
      <c r="C37" s="18">
        <v>204524.69999999998</v>
      </c>
      <c r="D37" s="18">
        <f t="shared" si="0"/>
        <v>16625165.149999999</v>
      </c>
      <c r="E37" s="18">
        <v>1276507.0300000003</v>
      </c>
      <c r="F37" s="39">
        <v>931</v>
      </c>
      <c r="G37" s="18">
        <f t="shared" si="2"/>
        <v>195.8734126131656</v>
      </c>
    </row>
    <row r="38" spans="1:7" ht="12.75">
      <c r="A38" s="22">
        <f t="shared" si="1"/>
        <v>44835</v>
      </c>
      <c r="B38" s="18">
        <v>17633254.54</v>
      </c>
      <c r="C38" s="18">
        <v>100849.79000000001</v>
      </c>
      <c r="D38" s="18">
        <f t="shared" si="0"/>
        <v>16127476.91</v>
      </c>
      <c r="E38" s="18">
        <v>1404927.8400000008</v>
      </c>
      <c r="F38" s="39">
        <v>931</v>
      </c>
      <c r="G38" s="18">
        <f t="shared" si="2"/>
        <v>215.57892281724733</v>
      </c>
    </row>
    <row r="39" spans="1:7" ht="12.75">
      <c r="A39" s="22">
        <f t="shared" si="1"/>
        <v>44842</v>
      </c>
      <c r="B39" s="40">
        <v>18459185.3</v>
      </c>
      <c r="C39" s="40">
        <v>206493.57</v>
      </c>
      <c r="D39" s="18">
        <f t="shared" si="0"/>
        <v>16845304.490000002</v>
      </c>
      <c r="E39" s="40">
        <v>1407387.24</v>
      </c>
      <c r="F39" s="39">
        <v>931</v>
      </c>
      <c r="G39" s="18">
        <f t="shared" si="2"/>
        <v>215.9563050483351</v>
      </c>
    </row>
    <row r="40" spans="1:7" ht="12.75">
      <c r="A40" s="22">
        <f t="shared" si="1"/>
        <v>44849</v>
      </c>
      <c r="B40" s="18">
        <v>17880828.78</v>
      </c>
      <c r="C40" s="18">
        <v>144938.22</v>
      </c>
      <c r="D40" s="18">
        <f t="shared" si="0"/>
        <v>16433209.920000002</v>
      </c>
      <c r="E40" s="18">
        <v>1302680.6399999997</v>
      </c>
      <c r="F40" s="39">
        <v>931</v>
      </c>
      <c r="G40" s="18">
        <f t="shared" si="2"/>
        <v>199.88961792235685</v>
      </c>
    </row>
    <row r="41" spans="1:7" ht="12.75">
      <c r="A41" s="22">
        <f t="shared" si="1"/>
        <v>44856</v>
      </c>
      <c r="B41" s="18">
        <v>17944159.97</v>
      </c>
      <c r="C41" s="18">
        <v>93482.29999999999</v>
      </c>
      <c r="D41" s="18">
        <f t="shared" si="0"/>
        <v>16488730.77</v>
      </c>
      <c r="E41" s="18">
        <v>1361946.8999999994</v>
      </c>
      <c r="F41" s="39">
        <v>931</v>
      </c>
      <c r="G41" s="18">
        <f t="shared" si="2"/>
        <v>208.98371950283862</v>
      </c>
    </row>
    <row r="42" spans="1:7" ht="12.75">
      <c r="A42" s="22">
        <f t="shared" si="1"/>
        <v>44863</v>
      </c>
      <c r="B42" s="18">
        <v>17981309.689999998</v>
      </c>
      <c r="C42" s="41">
        <v>190406.55</v>
      </c>
      <c r="D42" s="18">
        <f t="shared" si="0"/>
        <v>16531736.919999998</v>
      </c>
      <c r="E42" s="18">
        <v>1259166.2199999997</v>
      </c>
      <c r="F42" s="39">
        <v>931</v>
      </c>
      <c r="G42" s="18">
        <f t="shared" si="2"/>
        <v>193.21255485652904</v>
      </c>
    </row>
    <row r="43" spans="1:7" ht="12.75">
      <c r="A43" s="22">
        <f t="shared" si="1"/>
        <v>44870</v>
      </c>
      <c r="B43" s="18">
        <v>19873351.549999997</v>
      </c>
      <c r="C43" s="18">
        <v>208563.38</v>
      </c>
      <c r="D43" s="18">
        <f t="shared" si="0"/>
        <v>18243179.409999996</v>
      </c>
      <c r="E43" s="18">
        <v>1421608.7600000002</v>
      </c>
      <c r="F43" s="39">
        <v>931</v>
      </c>
      <c r="G43" s="18">
        <f t="shared" si="2"/>
        <v>218.13852386067214</v>
      </c>
    </row>
    <row r="44" spans="1:7" ht="12.75">
      <c r="A44" s="22">
        <f t="shared" si="1"/>
        <v>44877</v>
      </c>
      <c r="B44" s="18">
        <v>18958756.740000002</v>
      </c>
      <c r="C44" s="18">
        <v>204437.62000000002</v>
      </c>
      <c r="D44" s="18">
        <f t="shared" si="0"/>
        <v>17343838.57</v>
      </c>
      <c r="E44" s="18">
        <v>1410480.5499999996</v>
      </c>
      <c r="F44" s="39">
        <v>931</v>
      </c>
      <c r="G44" s="18">
        <f t="shared" si="2"/>
        <v>216.4309574957802</v>
      </c>
    </row>
    <row r="45" spans="1:7" ht="12.75">
      <c r="A45" s="22">
        <f t="shared" si="1"/>
        <v>44884</v>
      </c>
      <c r="B45" s="18">
        <v>8123643.81</v>
      </c>
      <c r="C45" s="41">
        <v>-7178.250000000015</v>
      </c>
      <c r="D45" s="18">
        <f t="shared" si="0"/>
        <v>7440863.989999999</v>
      </c>
      <c r="E45" s="18">
        <v>689958.0700000003</v>
      </c>
      <c r="F45" s="39">
        <v>931</v>
      </c>
      <c r="G45" s="18">
        <f t="shared" si="2"/>
        <v>105.87050329906403</v>
      </c>
    </row>
    <row r="46" spans="1:7" ht="12.75">
      <c r="A46" s="22">
        <f t="shared" si="1"/>
        <v>44891</v>
      </c>
      <c r="B46" s="18">
        <v>16579021.229999999</v>
      </c>
      <c r="C46" s="18">
        <v>225978.86000000002</v>
      </c>
      <c r="D46" s="18">
        <f t="shared" si="0"/>
        <v>15229479.549999999</v>
      </c>
      <c r="E46" s="18">
        <v>1123562.82</v>
      </c>
      <c r="F46" s="39">
        <v>931</v>
      </c>
      <c r="G46" s="18">
        <f t="shared" si="2"/>
        <v>172.40491330366734</v>
      </c>
    </row>
    <row r="47" spans="1:7" ht="12.75">
      <c r="A47" s="22">
        <f t="shared" si="1"/>
        <v>44898</v>
      </c>
      <c r="B47" s="18">
        <v>17065570.11</v>
      </c>
      <c r="C47" s="18">
        <v>229636.43</v>
      </c>
      <c r="D47" s="18">
        <f t="shared" si="0"/>
        <v>15655416.969999999</v>
      </c>
      <c r="E47" s="18">
        <v>1180516.71</v>
      </c>
      <c r="F47" s="39">
        <v>931</v>
      </c>
      <c r="G47" s="18">
        <f t="shared" si="2"/>
        <v>181.1441936473838</v>
      </c>
    </row>
    <row r="48" spans="1:7" ht="12.75">
      <c r="A48" s="22">
        <f t="shared" si="1"/>
        <v>44905</v>
      </c>
      <c r="B48" s="18">
        <v>19307273.330000002</v>
      </c>
      <c r="C48" s="18">
        <v>207556.79999999996</v>
      </c>
      <c r="D48" s="18">
        <f t="shared" si="0"/>
        <v>17681631.54</v>
      </c>
      <c r="E48" s="18">
        <v>1418084.9900000007</v>
      </c>
      <c r="F48" s="39">
        <v>931</v>
      </c>
      <c r="G48" s="18">
        <f t="shared" si="2"/>
        <v>217.5978195488723</v>
      </c>
    </row>
    <row r="49" spans="1:7" ht="12.75">
      <c r="A49" s="22">
        <f t="shared" si="1"/>
        <v>44912</v>
      </c>
      <c r="B49" s="18">
        <v>14099405.909999998</v>
      </c>
      <c r="C49" s="18">
        <v>109537.31</v>
      </c>
      <c r="D49" s="18">
        <f t="shared" si="0"/>
        <v>13036145.849999998</v>
      </c>
      <c r="E49" s="18">
        <v>953722.75</v>
      </c>
      <c r="F49" s="39">
        <v>931</v>
      </c>
      <c r="G49" s="18">
        <f t="shared" si="2"/>
        <v>146.34383151756944</v>
      </c>
    </row>
    <row r="50" spans="1:7" ht="12.75">
      <c r="A50" s="22">
        <f t="shared" si="1"/>
        <v>44919</v>
      </c>
      <c r="B50" s="18">
        <v>11164321.87</v>
      </c>
      <c r="C50" s="18">
        <v>136427.96</v>
      </c>
      <c r="D50" s="18">
        <f t="shared" si="0"/>
        <v>10296688.629999999</v>
      </c>
      <c r="E50" s="18">
        <v>731205.2800000001</v>
      </c>
      <c r="F50" s="39">
        <v>931</v>
      </c>
      <c r="G50" s="18">
        <f t="shared" si="2"/>
        <v>112.19967469694646</v>
      </c>
    </row>
    <row r="51" spans="1:7" ht="12.75">
      <c r="A51" s="22">
        <f t="shared" si="1"/>
        <v>44926</v>
      </c>
      <c r="B51" s="18">
        <v>19157361.97</v>
      </c>
      <c r="C51" s="18">
        <v>263003.89</v>
      </c>
      <c r="D51" s="18">
        <f t="shared" si="0"/>
        <v>17632946.959</v>
      </c>
      <c r="E51" s="18">
        <v>1261411.1210000003</v>
      </c>
      <c r="F51" s="39">
        <v>931</v>
      </c>
      <c r="G51" s="18">
        <f t="shared" si="2"/>
        <v>193.5570233236152</v>
      </c>
    </row>
    <row r="52" spans="1:7" ht="12.75">
      <c r="A52" s="22">
        <f t="shared" si="1"/>
        <v>44933</v>
      </c>
      <c r="B52" s="18">
        <v>22158318.59</v>
      </c>
      <c r="C52" s="18">
        <v>215801.17</v>
      </c>
      <c r="D52" s="18">
        <f t="shared" si="0"/>
        <v>20342548.15</v>
      </c>
      <c r="E52" s="18">
        <v>1599969.2699999998</v>
      </c>
      <c r="F52" s="39">
        <v>931</v>
      </c>
      <c r="G52" s="18">
        <f t="shared" si="2"/>
        <v>245.50702317017027</v>
      </c>
    </row>
    <row r="53" spans="1:7" ht="12.75">
      <c r="A53" s="22">
        <f t="shared" si="1"/>
        <v>44940</v>
      </c>
      <c r="B53" s="18">
        <v>18673320.439999998</v>
      </c>
      <c r="C53" s="18">
        <v>106737.09</v>
      </c>
      <c r="D53" s="18">
        <f t="shared" si="0"/>
        <v>17140041.4</v>
      </c>
      <c r="E53" s="18">
        <v>1426541.9500000004</v>
      </c>
      <c r="F53" s="39">
        <v>931</v>
      </c>
      <c r="G53" s="18">
        <f t="shared" si="2"/>
        <v>218.8954963940464</v>
      </c>
    </row>
    <row r="54" spans="1:7" ht="12.75">
      <c r="A54" s="22">
        <f t="shared" si="1"/>
        <v>44947</v>
      </c>
      <c r="B54" s="18">
        <v>18756117.369999997</v>
      </c>
      <c r="C54" s="18">
        <v>215184.84000000003</v>
      </c>
      <c r="D54" s="18">
        <f t="shared" si="0"/>
        <v>17187882.949999996</v>
      </c>
      <c r="E54" s="18">
        <v>1353049.58</v>
      </c>
      <c r="F54" s="39">
        <v>931</v>
      </c>
      <c r="G54" s="18">
        <f t="shared" si="2"/>
        <v>207.61847168942765</v>
      </c>
    </row>
    <row r="55" spans="1:7" ht="12.75">
      <c r="A55" s="22">
        <f t="shared" si="1"/>
        <v>44954</v>
      </c>
      <c r="B55" s="18">
        <v>18864074.08</v>
      </c>
      <c r="C55" s="18">
        <v>210618.28999999998</v>
      </c>
      <c r="D55" s="18">
        <f t="shared" si="0"/>
        <v>17251485.06</v>
      </c>
      <c r="E55" s="18">
        <v>1401970.73</v>
      </c>
      <c r="F55" s="39">
        <v>931</v>
      </c>
      <c r="G55" s="18">
        <f t="shared" si="2"/>
        <v>215.12516955654442</v>
      </c>
    </row>
    <row r="56" spans="1:7" ht="12.75">
      <c r="A56" s="22">
        <f t="shared" si="1"/>
        <v>44961</v>
      </c>
      <c r="B56" s="18">
        <v>19504917.48</v>
      </c>
      <c r="C56" s="18">
        <v>193895.01000000004</v>
      </c>
      <c r="D56" s="18">
        <f t="shared" si="0"/>
        <v>17853875.459999997</v>
      </c>
      <c r="E56" s="18">
        <v>1457147.0100000002</v>
      </c>
      <c r="F56" s="39">
        <v>931</v>
      </c>
      <c r="G56" s="18">
        <f t="shared" si="2"/>
        <v>223.5916848243057</v>
      </c>
    </row>
    <row r="57" spans="1:7" ht="12.75">
      <c r="A57" s="22">
        <f t="shared" si="1"/>
        <v>44968</v>
      </c>
      <c r="B57" s="18">
        <v>21157019.64</v>
      </c>
      <c r="C57" s="18">
        <v>191867.87999999998</v>
      </c>
      <c r="D57" s="18">
        <f t="shared" si="0"/>
        <v>19383170.650000002</v>
      </c>
      <c r="E57" s="18">
        <v>1581981.109999999</v>
      </c>
      <c r="F57" s="39">
        <v>931</v>
      </c>
      <c r="G57" s="18">
        <f t="shared" si="2"/>
        <v>242.74683289857282</v>
      </c>
    </row>
    <row r="58" spans="1:7" ht="12.75">
      <c r="A58" s="22">
        <f t="shared" si="1"/>
        <v>44975</v>
      </c>
      <c r="B58" s="18">
        <v>20640749.93</v>
      </c>
      <c r="C58" s="18">
        <v>98746.97</v>
      </c>
      <c r="D58" s="18">
        <f t="shared" si="0"/>
        <v>18858341.630000003</v>
      </c>
      <c r="E58" s="18">
        <v>1683661.3299999998</v>
      </c>
      <c r="F58" s="39">
        <v>931</v>
      </c>
      <c r="G58" s="18">
        <f t="shared" si="2"/>
        <v>258.3491376400184</v>
      </c>
    </row>
    <row r="59" spans="1:7" ht="12.75">
      <c r="A59" s="22">
        <f t="shared" si="1"/>
        <v>44982</v>
      </c>
      <c r="B59" s="18">
        <v>20040381.23</v>
      </c>
      <c r="C59" s="18">
        <v>218190.58000000002</v>
      </c>
      <c r="D59" s="18">
        <f t="shared" si="0"/>
        <v>18320133.480000004</v>
      </c>
      <c r="E59" s="18">
        <v>1502057.17</v>
      </c>
      <c r="F59" s="39">
        <v>931</v>
      </c>
      <c r="G59" s="18">
        <f t="shared" si="2"/>
        <v>230.48291698634338</v>
      </c>
    </row>
    <row r="60" spans="1:7" ht="12.75">
      <c r="A60" s="22">
        <f t="shared" si="1"/>
        <v>44989</v>
      </c>
      <c r="B60" s="18">
        <v>21453260.27</v>
      </c>
      <c r="C60" s="18">
        <v>227694.47999999998</v>
      </c>
      <c r="D60" s="18">
        <f t="shared" si="0"/>
        <v>19643587.529999997</v>
      </c>
      <c r="E60" s="18">
        <v>1581978.2600000002</v>
      </c>
      <c r="F60" s="39">
        <v>931</v>
      </c>
      <c r="G60" s="18">
        <f t="shared" si="2"/>
        <v>242.74639558078874</v>
      </c>
    </row>
    <row r="61" spans="1:7" ht="12.75">
      <c r="A61" s="22">
        <f t="shared" si="1"/>
        <v>44996</v>
      </c>
      <c r="B61" s="18">
        <v>20810544.52</v>
      </c>
      <c r="C61" s="18">
        <v>221816.00999999998</v>
      </c>
      <c r="D61" s="18">
        <f t="shared" si="0"/>
        <v>19097387.709999997</v>
      </c>
      <c r="E61" s="18">
        <v>1491340.7999999998</v>
      </c>
      <c r="F61" s="39">
        <v>931</v>
      </c>
      <c r="G61" s="18">
        <f t="shared" si="2"/>
        <v>228.83854534294917</v>
      </c>
    </row>
    <row r="62" spans="1:7" ht="12.75">
      <c r="A62" s="22">
        <f t="shared" si="1"/>
        <v>45003</v>
      </c>
      <c r="B62" s="18">
        <v>21612222.22</v>
      </c>
      <c r="C62" s="18">
        <v>257377.13</v>
      </c>
      <c r="D62" s="18">
        <f t="shared" si="0"/>
        <v>19707953.64</v>
      </c>
      <c r="E62" s="18">
        <v>1646891.4500000004</v>
      </c>
      <c r="F62" s="39">
        <v>931</v>
      </c>
      <c r="G62" s="18">
        <f t="shared" si="2"/>
        <v>252.70698941230634</v>
      </c>
    </row>
    <row r="63" spans="1:7" ht="12.75">
      <c r="A63" s="22">
        <f t="shared" si="1"/>
        <v>45010</v>
      </c>
      <c r="B63" s="18">
        <v>23235973.49</v>
      </c>
      <c r="C63" s="18">
        <v>230546.94</v>
      </c>
      <c r="D63" s="18">
        <f t="shared" si="0"/>
        <v>21255596.409999996</v>
      </c>
      <c r="E63" s="18">
        <v>1749830.14</v>
      </c>
      <c r="F63" s="39">
        <v>931</v>
      </c>
      <c r="G63" s="18">
        <f t="shared" si="2"/>
        <v>268.5023998772441</v>
      </c>
    </row>
    <row r="64" ht="12.75">
      <c r="G64" s="15">
        <f>_xlfn.IFERROR((E64/F64/7),"")</f>
      </c>
    </row>
    <row r="65" spans="1:7" ht="13.5" thickBot="1">
      <c r="A65" s="22" t="s">
        <v>8</v>
      </c>
      <c r="B65" s="17">
        <f>IF(SUM(B12:B64)=0,"",SUM(B12:B64))</f>
        <v>985210139.8999999</v>
      </c>
      <c r="C65" s="17">
        <f>IF(SUM(C12:C64)=0,"",SUM(C12:C64))</f>
        <v>9742994.840000002</v>
      </c>
      <c r="D65" s="17">
        <f>IF(SUM(D12:D64)=0,"",SUM(D12:D64))</f>
        <v>903783991.2189999</v>
      </c>
      <c r="E65" s="17">
        <f>IF(SUM(E12:E64)=0,"",SUM(E12:E64))</f>
        <v>71683153.841</v>
      </c>
      <c r="F65" s="24">
        <f>_xlfn.IFERROR(SUM(F12:F64)/COUNT(F12:F64)," ")</f>
        <v>930.6730769230769</v>
      </c>
      <c r="G65" s="17">
        <f>_xlfn.IFERROR(E65/SUM(F12:F64)/7," ")</f>
        <v>211.60141644207638</v>
      </c>
    </row>
    <row r="66" spans="1:5" s="21" customFormat="1" ht="13.5" thickTop="1">
      <c r="A66" s="22"/>
      <c r="B66" s="20"/>
      <c r="C66" s="20"/>
      <c r="D66" s="20"/>
      <c r="E66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67" sqref="B67"/>
    </sheetView>
  </sheetViews>
  <sheetFormatPr defaultColWidth="9.140625" defaultRowHeight="12.75"/>
  <cols>
    <col min="1" max="1" width="15.7109375" style="22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0" s="26" customFormat="1" ht="18">
      <c r="A1" s="42" t="s">
        <v>30</v>
      </c>
      <c r="B1" s="42"/>
      <c r="C1" s="42"/>
      <c r="D1" s="42"/>
      <c r="E1" s="42"/>
      <c r="F1" s="42"/>
      <c r="G1" s="42"/>
      <c r="H1" s="28"/>
      <c r="I1" s="28"/>
      <c r="J1" s="28"/>
    </row>
    <row r="2" spans="1:10" s="26" customFormat="1" ht="15">
      <c r="A2" s="43" t="s">
        <v>19</v>
      </c>
      <c r="B2" s="43"/>
      <c r="C2" s="43"/>
      <c r="D2" s="43"/>
      <c r="E2" s="43"/>
      <c r="F2" s="43"/>
      <c r="G2" s="43"/>
      <c r="H2" s="29"/>
      <c r="I2" s="29"/>
      <c r="J2" s="29"/>
    </row>
    <row r="3" spans="1:10" s="27" customFormat="1" ht="15">
      <c r="A3" s="43" t="s">
        <v>20</v>
      </c>
      <c r="B3" s="43"/>
      <c r="C3" s="43"/>
      <c r="D3" s="43"/>
      <c r="E3" s="43"/>
      <c r="F3" s="43"/>
      <c r="G3" s="43"/>
      <c r="H3" s="29"/>
      <c r="I3" s="29"/>
      <c r="J3" s="29"/>
    </row>
    <row r="4" spans="1:10" s="27" customFormat="1" ht="14.25">
      <c r="A4" s="44" t="s">
        <v>21</v>
      </c>
      <c r="B4" s="44"/>
      <c r="C4" s="44"/>
      <c r="D4" s="44"/>
      <c r="E4" s="44"/>
      <c r="F4" s="44"/>
      <c r="G4" s="44"/>
      <c r="H4" s="32"/>
      <c r="I4" s="30"/>
      <c r="J4" s="30"/>
    </row>
    <row r="5" spans="1:10" s="27" customFormat="1" ht="14.25">
      <c r="A5" s="45" t="s">
        <v>22</v>
      </c>
      <c r="B5" s="45"/>
      <c r="C5" s="45"/>
      <c r="D5" s="45"/>
      <c r="E5" s="45"/>
      <c r="F5" s="45"/>
      <c r="G5" s="45"/>
      <c r="H5" s="31"/>
      <c r="I5" s="31"/>
      <c r="J5" s="31"/>
    </row>
    <row r="6" spans="1:7" s="1" customFormat="1" ht="14.25">
      <c r="A6" s="33"/>
      <c r="B6" s="2"/>
      <c r="C6" s="2"/>
      <c r="D6" s="2"/>
      <c r="E6" s="2"/>
      <c r="F6" s="2"/>
      <c r="G6" s="2"/>
    </row>
    <row r="7" spans="1:7" s="7" customFormat="1" ht="14.25" customHeight="1">
      <c r="A7" s="46" t="s">
        <v>38</v>
      </c>
      <c r="B7" s="47"/>
      <c r="C7" s="47"/>
      <c r="D7" s="47"/>
      <c r="E7" s="47"/>
      <c r="F7" s="47"/>
      <c r="G7" s="48"/>
    </row>
    <row r="8" spans="1:7" s="1" customFormat="1" ht="9" customHeight="1">
      <c r="A8" s="22"/>
      <c r="B8" s="4"/>
      <c r="C8" s="4"/>
      <c r="D8" s="4"/>
      <c r="E8" s="5"/>
      <c r="F8" s="6"/>
      <c r="G8" s="5"/>
    </row>
    <row r="9" spans="1:7" s="12" customFormat="1" ht="12">
      <c r="A9" s="34"/>
      <c r="B9" s="10" t="s">
        <v>0</v>
      </c>
      <c r="C9" s="10" t="s">
        <v>26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35" t="s">
        <v>11</v>
      </c>
      <c r="B10" s="8" t="s">
        <v>3</v>
      </c>
      <c r="C10" s="8" t="s">
        <v>28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2">
        <v>44289</v>
      </c>
      <c r="B12" s="18">
        <v>15254441.370000001</v>
      </c>
      <c r="C12" s="18">
        <v>141512.43</v>
      </c>
      <c r="D12" s="18">
        <f aca="true" t="shared" si="0" ref="D12:D63">IF(ISBLANK(B12),"",B12-C12-E12)</f>
        <v>13933880.47</v>
      </c>
      <c r="E12" s="18">
        <v>1179048.47</v>
      </c>
      <c r="F12" s="39">
        <v>495</v>
      </c>
      <c r="G12" s="18">
        <f>IF(ISBLANK(B12),"",E12/F12/7)</f>
        <v>340.27372871572874</v>
      </c>
    </row>
    <row r="13" spans="1:7" ht="12.75">
      <c r="A13" s="22">
        <f aca="true" t="shared" si="1" ref="A13:A63">+A12+7</f>
        <v>44296</v>
      </c>
      <c r="B13" s="18">
        <v>16585296.48</v>
      </c>
      <c r="C13" s="18">
        <v>168213.61000000002</v>
      </c>
      <c r="D13" s="18">
        <f>IF(ISBLANK(B13),"",B13-C13-E13)</f>
        <v>15184076.020000001</v>
      </c>
      <c r="E13" s="18">
        <v>1233006.8499999996</v>
      </c>
      <c r="F13" s="39">
        <v>495</v>
      </c>
      <c r="G13" s="18">
        <f>IF(ISBLANK(B13),"",E13/F13/7)</f>
        <v>355.84613275613265</v>
      </c>
    </row>
    <row r="14" spans="1:7" ht="12.75">
      <c r="A14" s="22">
        <f t="shared" si="1"/>
        <v>44303</v>
      </c>
      <c r="B14" s="18">
        <v>16192815.28</v>
      </c>
      <c r="C14" s="18">
        <v>121211.54</v>
      </c>
      <c r="D14" s="18">
        <f t="shared" si="0"/>
        <v>14907633.48</v>
      </c>
      <c r="E14" s="18">
        <v>1163970.2599999998</v>
      </c>
      <c r="F14" s="39">
        <v>495</v>
      </c>
      <c r="G14" s="18">
        <f>IF(ISBLANK(B14),"",E14/F14/7)</f>
        <v>335.9221529581529</v>
      </c>
    </row>
    <row r="15" spans="1:7" ht="12.75">
      <c r="A15" s="22">
        <f t="shared" si="1"/>
        <v>44310</v>
      </c>
      <c r="B15" s="18">
        <v>15548052.440000001</v>
      </c>
      <c r="C15" s="18">
        <v>140850.98</v>
      </c>
      <c r="D15" s="18">
        <f>IF(ISBLANK(B15),"",B15-C15-E15)</f>
        <v>14329082.18</v>
      </c>
      <c r="E15" s="18">
        <v>1078119.2800000003</v>
      </c>
      <c r="F15" s="39">
        <v>495</v>
      </c>
      <c r="G15" s="18">
        <f aca="true" t="shared" si="2" ref="G15:G63">IF(ISBLANK(B15),"",E15/F15/7)</f>
        <v>311.1455353535354</v>
      </c>
    </row>
    <row r="16" spans="1:7" ht="12.75">
      <c r="A16" s="22">
        <f t="shared" si="1"/>
        <v>44317</v>
      </c>
      <c r="B16" s="18">
        <v>16514808.2</v>
      </c>
      <c r="C16" s="18">
        <v>119106.23</v>
      </c>
      <c r="D16" s="18">
        <f>IF(ISBLANK(B16),"",B16-C16-E16)</f>
        <v>15148962.7</v>
      </c>
      <c r="E16" s="18">
        <v>1246739.27</v>
      </c>
      <c r="F16" s="39">
        <v>495</v>
      </c>
      <c r="G16" s="18">
        <f t="shared" si="2"/>
        <v>359.8093131313131</v>
      </c>
    </row>
    <row r="17" spans="1:7" ht="12.75">
      <c r="A17" s="22">
        <f t="shared" si="1"/>
        <v>44324</v>
      </c>
      <c r="B17" s="18">
        <v>16268339.86</v>
      </c>
      <c r="C17" s="18">
        <v>102238.12</v>
      </c>
      <c r="D17" s="18">
        <f aca="true" t="shared" si="3" ref="D17:D35">IF(ISBLANK(B17),"",B17-C17-E17)</f>
        <v>14934562.94</v>
      </c>
      <c r="E17" s="18">
        <v>1231538.8</v>
      </c>
      <c r="F17" s="39">
        <v>495</v>
      </c>
      <c r="G17" s="18">
        <f t="shared" si="2"/>
        <v>355.42245310245306</v>
      </c>
    </row>
    <row r="18" spans="1:7" ht="12.75">
      <c r="A18" s="22">
        <f t="shared" si="1"/>
        <v>44331</v>
      </c>
      <c r="B18" s="18">
        <v>15396267.05</v>
      </c>
      <c r="C18" s="18">
        <v>143666.64</v>
      </c>
      <c r="D18" s="18">
        <f t="shared" si="3"/>
        <v>14135422.120000001</v>
      </c>
      <c r="E18" s="18">
        <v>1117178.29</v>
      </c>
      <c r="F18" s="39">
        <v>495</v>
      </c>
      <c r="G18" s="18">
        <f t="shared" si="2"/>
        <v>322.4179769119769</v>
      </c>
    </row>
    <row r="19" spans="1:7" ht="12.75">
      <c r="A19" s="22">
        <f t="shared" si="1"/>
        <v>44338</v>
      </c>
      <c r="B19" s="18">
        <v>13411626.66</v>
      </c>
      <c r="C19" s="18">
        <v>135648.29</v>
      </c>
      <c r="D19" s="18">
        <f t="shared" si="3"/>
        <v>12327492.750000002</v>
      </c>
      <c r="E19" s="18">
        <v>948485.62</v>
      </c>
      <c r="F19" s="39">
        <v>500</v>
      </c>
      <c r="G19" s="18">
        <f t="shared" si="2"/>
        <v>270.99589142857144</v>
      </c>
    </row>
    <row r="20" spans="1:7" ht="12.75">
      <c r="A20" s="22">
        <f t="shared" si="1"/>
        <v>44345</v>
      </c>
      <c r="B20" s="18">
        <v>16793806.47</v>
      </c>
      <c r="C20" s="18">
        <v>155881.53</v>
      </c>
      <c r="D20" s="18">
        <f t="shared" si="3"/>
        <v>15511702.82</v>
      </c>
      <c r="E20" s="18">
        <v>1126222.12</v>
      </c>
      <c r="F20" s="39">
        <v>504</v>
      </c>
      <c r="G20" s="18">
        <f t="shared" si="2"/>
        <v>319.2239569160998</v>
      </c>
    </row>
    <row r="21" spans="1:7" ht="12.75">
      <c r="A21" s="22">
        <f t="shared" si="1"/>
        <v>44352</v>
      </c>
      <c r="B21" s="18">
        <v>16068562.76</v>
      </c>
      <c r="C21" s="18">
        <v>173072.43</v>
      </c>
      <c r="D21" s="18">
        <f t="shared" si="3"/>
        <v>14808139.66</v>
      </c>
      <c r="E21" s="18">
        <v>1087350.67</v>
      </c>
      <c r="F21" s="39">
        <v>504</v>
      </c>
      <c r="G21" s="18">
        <f t="shared" si="2"/>
        <v>308.20597222222216</v>
      </c>
    </row>
    <row r="22" spans="1:7" ht="12.75">
      <c r="A22" s="22">
        <f t="shared" si="1"/>
        <v>44359</v>
      </c>
      <c r="B22" s="18">
        <v>14737057.73</v>
      </c>
      <c r="C22" s="18">
        <v>146954.63999999998</v>
      </c>
      <c r="D22" s="18">
        <f t="shared" si="3"/>
        <v>13524222.27</v>
      </c>
      <c r="E22" s="18">
        <v>1065880.8199999998</v>
      </c>
      <c r="F22" s="39">
        <v>504</v>
      </c>
      <c r="G22" s="18">
        <f t="shared" si="2"/>
        <v>302.1204138321995</v>
      </c>
    </row>
    <row r="23" spans="1:7" ht="12.75">
      <c r="A23" s="22">
        <f t="shared" si="1"/>
        <v>44366</v>
      </c>
      <c r="B23" s="18">
        <v>15782652.26</v>
      </c>
      <c r="C23" s="18">
        <v>150283.77</v>
      </c>
      <c r="D23" s="18">
        <f t="shared" si="3"/>
        <v>14461646.38</v>
      </c>
      <c r="E23" s="18">
        <v>1170722.1099999996</v>
      </c>
      <c r="F23" s="39">
        <v>625</v>
      </c>
      <c r="G23" s="18">
        <f t="shared" si="2"/>
        <v>267.5936251428571</v>
      </c>
    </row>
    <row r="24" spans="1:7" ht="12.75">
      <c r="A24" s="22">
        <f t="shared" si="1"/>
        <v>44373</v>
      </c>
      <c r="B24" s="18">
        <v>17471306.38</v>
      </c>
      <c r="C24" s="18">
        <v>148176.54</v>
      </c>
      <c r="D24" s="18">
        <f t="shared" si="3"/>
        <v>16023792.09</v>
      </c>
      <c r="E24" s="18">
        <v>1299337.7500000002</v>
      </c>
      <c r="F24" s="39">
        <v>929</v>
      </c>
      <c r="G24" s="18">
        <f t="shared" si="2"/>
        <v>199.80589727817934</v>
      </c>
    </row>
    <row r="25" spans="1:7" ht="12.75">
      <c r="A25" s="22">
        <f t="shared" si="1"/>
        <v>44380</v>
      </c>
      <c r="B25" s="18">
        <v>18563713.75</v>
      </c>
      <c r="C25" s="18">
        <v>234865.32</v>
      </c>
      <c r="D25" s="18">
        <f t="shared" si="3"/>
        <v>17044163.94</v>
      </c>
      <c r="E25" s="18">
        <v>1284684.4899999998</v>
      </c>
      <c r="F25" s="39">
        <v>929</v>
      </c>
      <c r="G25" s="18">
        <f t="shared" si="2"/>
        <v>197.5525895740427</v>
      </c>
    </row>
    <row r="26" spans="1:7" ht="12.75">
      <c r="A26" s="22">
        <f t="shared" si="1"/>
        <v>44387</v>
      </c>
      <c r="B26" s="18">
        <v>19038523.9</v>
      </c>
      <c r="C26" s="18">
        <v>189103.01</v>
      </c>
      <c r="D26" s="18">
        <f t="shared" si="3"/>
        <v>17505152.369999997</v>
      </c>
      <c r="E26" s="18">
        <v>1344268.52</v>
      </c>
      <c r="F26" s="39">
        <v>929</v>
      </c>
      <c r="G26" s="18">
        <f t="shared" si="2"/>
        <v>206.71513455328312</v>
      </c>
    </row>
    <row r="27" spans="1:7" ht="12.75">
      <c r="A27" s="22">
        <f t="shared" si="1"/>
        <v>44394</v>
      </c>
      <c r="B27" s="18">
        <v>17620684.639999997</v>
      </c>
      <c r="C27" s="18">
        <v>146398.59999999998</v>
      </c>
      <c r="D27" s="18">
        <f t="shared" si="3"/>
        <v>16176697.809999995</v>
      </c>
      <c r="E27" s="18">
        <v>1297588.23</v>
      </c>
      <c r="F27" s="39">
        <v>929</v>
      </c>
      <c r="G27" s="18">
        <f t="shared" si="2"/>
        <v>199.5368645240658</v>
      </c>
    </row>
    <row r="28" spans="1:7" ht="12.75">
      <c r="A28" s="22">
        <f t="shared" si="1"/>
        <v>44401</v>
      </c>
      <c r="B28" s="18">
        <v>18129664.55</v>
      </c>
      <c r="C28" s="18">
        <v>105305.68000000002</v>
      </c>
      <c r="D28" s="18">
        <f t="shared" si="3"/>
        <v>16805230.46</v>
      </c>
      <c r="E28" s="18">
        <v>1219128.4100000001</v>
      </c>
      <c r="F28" s="39">
        <v>929</v>
      </c>
      <c r="G28" s="18">
        <f t="shared" si="2"/>
        <v>187.47169152698757</v>
      </c>
    </row>
    <row r="29" spans="1:7" ht="12.75">
      <c r="A29" s="22">
        <f t="shared" si="1"/>
        <v>44408</v>
      </c>
      <c r="B29" s="18">
        <v>17746493.21</v>
      </c>
      <c r="C29" s="18">
        <v>151356.02</v>
      </c>
      <c r="D29" s="18">
        <f t="shared" si="3"/>
        <v>16337389.610000001</v>
      </c>
      <c r="E29" s="18">
        <v>1257747.58</v>
      </c>
      <c r="F29" s="39">
        <v>929</v>
      </c>
      <c r="G29" s="18">
        <f t="shared" si="2"/>
        <v>193.4103613716746</v>
      </c>
    </row>
    <row r="30" spans="1:7" ht="12.75">
      <c r="A30" s="22">
        <f t="shared" si="1"/>
        <v>44415</v>
      </c>
      <c r="B30" s="18">
        <v>17691231.52</v>
      </c>
      <c r="C30" s="18">
        <v>164819.89</v>
      </c>
      <c r="D30" s="18">
        <f t="shared" si="3"/>
        <v>16201660.7</v>
      </c>
      <c r="E30" s="18">
        <v>1324750.9300000002</v>
      </c>
      <c r="F30" s="39">
        <v>929</v>
      </c>
      <c r="G30" s="18">
        <f t="shared" si="2"/>
        <v>203.71381362448102</v>
      </c>
    </row>
    <row r="31" spans="1:7" ht="12.75">
      <c r="A31" s="22">
        <f t="shared" si="1"/>
        <v>44422</v>
      </c>
      <c r="B31" s="18">
        <v>12192212.29</v>
      </c>
      <c r="C31" s="18">
        <v>118877.40000000001</v>
      </c>
      <c r="D31" s="18">
        <f t="shared" si="3"/>
        <v>11122590.739999998</v>
      </c>
      <c r="E31" s="18">
        <v>950744.1499999997</v>
      </c>
      <c r="F31" s="39">
        <v>929</v>
      </c>
      <c r="G31" s="18">
        <f t="shared" si="2"/>
        <v>146.20085345225274</v>
      </c>
    </row>
    <row r="32" spans="1:7" ht="12.75">
      <c r="A32" s="22">
        <f t="shared" si="1"/>
        <v>44429</v>
      </c>
      <c r="B32" s="18">
        <v>12067255.329999998</v>
      </c>
      <c r="C32" s="18">
        <v>61281.51</v>
      </c>
      <c r="D32" s="18">
        <f t="shared" si="3"/>
        <v>11093527.03</v>
      </c>
      <c r="E32" s="18">
        <v>912446.7899999996</v>
      </c>
      <c r="F32" s="39">
        <v>929</v>
      </c>
      <c r="G32" s="18">
        <f t="shared" si="2"/>
        <v>140.31166999846218</v>
      </c>
    </row>
    <row r="33" spans="1:7" ht="12.75">
      <c r="A33" s="22">
        <f t="shared" si="1"/>
        <v>44436</v>
      </c>
      <c r="B33" s="18">
        <v>17152747</v>
      </c>
      <c r="C33" s="18">
        <v>183579.36</v>
      </c>
      <c r="D33" s="18">
        <f t="shared" si="3"/>
        <v>15738482.580000002</v>
      </c>
      <c r="E33" s="18">
        <v>1230685.0599999996</v>
      </c>
      <c r="F33" s="39">
        <v>929</v>
      </c>
      <c r="G33" s="18">
        <f t="shared" si="2"/>
        <v>189.24881746886044</v>
      </c>
    </row>
    <row r="34" spans="1:7" ht="12.75">
      <c r="A34" s="22">
        <f t="shared" si="1"/>
        <v>44443</v>
      </c>
      <c r="B34" s="18">
        <v>19236465.839999996</v>
      </c>
      <c r="C34" s="18">
        <v>191486.74</v>
      </c>
      <c r="D34" s="18">
        <f t="shared" si="3"/>
        <v>17734944.769999996</v>
      </c>
      <c r="E34" s="18">
        <v>1310034.33</v>
      </c>
      <c r="F34" s="39">
        <v>929</v>
      </c>
      <c r="G34" s="18">
        <f t="shared" si="2"/>
        <v>201.4507658003998</v>
      </c>
    </row>
    <row r="35" spans="1:7" ht="12.75">
      <c r="A35" s="22">
        <f t="shared" si="1"/>
        <v>44450</v>
      </c>
      <c r="B35" s="18">
        <v>18911356.83</v>
      </c>
      <c r="C35" s="18">
        <v>189378.46</v>
      </c>
      <c r="D35" s="18">
        <f t="shared" si="3"/>
        <v>17325412.419999998</v>
      </c>
      <c r="E35" s="18">
        <v>1396565.95</v>
      </c>
      <c r="F35" s="39">
        <v>929</v>
      </c>
      <c r="G35" s="18">
        <f t="shared" si="2"/>
        <v>214.75718130093804</v>
      </c>
    </row>
    <row r="36" spans="1:7" ht="12.75">
      <c r="A36" s="22">
        <f t="shared" si="1"/>
        <v>44457</v>
      </c>
      <c r="B36" s="18">
        <v>18611818.44</v>
      </c>
      <c r="C36" s="18">
        <v>163407.74</v>
      </c>
      <c r="D36" s="18">
        <f t="shared" si="0"/>
        <v>17096309.6</v>
      </c>
      <c r="E36" s="18">
        <v>1352101.1000000003</v>
      </c>
      <c r="F36" s="39">
        <v>929</v>
      </c>
      <c r="G36" s="18">
        <f t="shared" si="2"/>
        <v>207.91959095801943</v>
      </c>
    </row>
    <row r="37" spans="1:7" ht="12.75">
      <c r="A37" s="22">
        <f t="shared" si="1"/>
        <v>44464</v>
      </c>
      <c r="B37" s="18">
        <v>17547570.090000004</v>
      </c>
      <c r="C37" s="18">
        <v>78260.91000000002</v>
      </c>
      <c r="D37" s="18">
        <f t="shared" si="0"/>
        <v>16161989.060000002</v>
      </c>
      <c r="E37" s="18">
        <v>1307320.12</v>
      </c>
      <c r="F37" s="39">
        <v>929</v>
      </c>
      <c r="G37" s="18">
        <f t="shared" si="2"/>
        <v>201.03338766723053</v>
      </c>
    </row>
    <row r="38" spans="1:7" ht="12.75">
      <c r="A38" s="22">
        <f t="shared" si="1"/>
        <v>44471</v>
      </c>
      <c r="B38" s="18">
        <v>17500113.34</v>
      </c>
      <c r="C38" s="18">
        <v>146383.63</v>
      </c>
      <c r="D38" s="18">
        <f t="shared" si="0"/>
        <v>16091016.190000001</v>
      </c>
      <c r="E38" s="18">
        <v>1262713.5200000003</v>
      </c>
      <c r="F38" s="39">
        <v>929</v>
      </c>
      <c r="G38" s="18">
        <f t="shared" si="2"/>
        <v>194.17399969244966</v>
      </c>
    </row>
    <row r="39" spans="1:7" ht="12.75">
      <c r="A39" s="22">
        <f t="shared" si="1"/>
        <v>44478</v>
      </c>
      <c r="B39" s="40">
        <v>16703739.229999999</v>
      </c>
      <c r="C39" s="40">
        <v>142605.28</v>
      </c>
      <c r="D39" s="18">
        <f t="shared" si="0"/>
        <v>15365554</v>
      </c>
      <c r="E39" s="40">
        <v>1195579.9499999997</v>
      </c>
      <c r="F39" s="39">
        <v>929</v>
      </c>
      <c r="G39" s="18">
        <f t="shared" si="2"/>
        <v>183.8505228356143</v>
      </c>
    </row>
    <row r="40" spans="1:7" ht="12.75">
      <c r="A40" s="22">
        <f t="shared" si="1"/>
        <v>44485</v>
      </c>
      <c r="B40" s="18">
        <v>16618995.08</v>
      </c>
      <c r="C40" s="18">
        <v>140480.28</v>
      </c>
      <c r="D40" s="18">
        <f t="shared" si="0"/>
        <v>15205134.72</v>
      </c>
      <c r="E40" s="18">
        <v>1273380.0799999998</v>
      </c>
      <c r="F40" s="39">
        <v>929</v>
      </c>
      <c r="G40" s="18">
        <f t="shared" si="2"/>
        <v>195.81425188374595</v>
      </c>
    </row>
    <row r="41" spans="1:7" ht="12.75">
      <c r="A41" s="22">
        <f t="shared" si="1"/>
        <v>44492</v>
      </c>
      <c r="B41" s="18">
        <v>16770184.189999998</v>
      </c>
      <c r="C41" s="18">
        <v>74282.46999999999</v>
      </c>
      <c r="D41" s="18">
        <f t="shared" si="0"/>
        <v>15329509.359999996</v>
      </c>
      <c r="E41" s="18">
        <v>1366392.3600000003</v>
      </c>
      <c r="F41" s="39">
        <v>929</v>
      </c>
      <c r="G41" s="18">
        <f t="shared" si="2"/>
        <v>210.1172320467477</v>
      </c>
    </row>
    <row r="42" spans="1:7" ht="12.75">
      <c r="A42" s="22">
        <f t="shared" si="1"/>
        <v>44499</v>
      </c>
      <c r="B42" s="18">
        <v>17608903.080000002</v>
      </c>
      <c r="C42" s="41">
        <v>192997.04000000004</v>
      </c>
      <c r="D42" s="18">
        <f t="shared" si="0"/>
        <v>16164035.450000003</v>
      </c>
      <c r="E42" s="18">
        <v>1251870.5899999999</v>
      </c>
      <c r="F42" s="39">
        <v>929</v>
      </c>
      <c r="G42" s="18">
        <f t="shared" si="2"/>
        <v>192.50662617253573</v>
      </c>
    </row>
    <row r="43" spans="1:7" ht="12.75">
      <c r="A43" s="22">
        <f t="shared" si="1"/>
        <v>44506</v>
      </c>
      <c r="B43" s="18">
        <v>18023394.889999997</v>
      </c>
      <c r="C43" s="18">
        <v>180774.73000000004</v>
      </c>
      <c r="D43" s="18">
        <f t="shared" si="0"/>
        <v>16531586.519999998</v>
      </c>
      <c r="E43" s="18">
        <v>1311033.6399999994</v>
      </c>
      <c r="F43" s="39">
        <v>929</v>
      </c>
      <c r="G43" s="18">
        <f t="shared" si="2"/>
        <v>201.6044348762109</v>
      </c>
    </row>
    <row r="44" spans="1:7" ht="12.75">
      <c r="A44" s="22">
        <f t="shared" si="1"/>
        <v>44513</v>
      </c>
      <c r="B44" s="18">
        <v>17761138.759999998</v>
      </c>
      <c r="C44" s="18">
        <v>173906.8</v>
      </c>
      <c r="D44" s="18">
        <f t="shared" si="0"/>
        <v>16282897.119999997</v>
      </c>
      <c r="E44" s="18">
        <v>1304334.8399999996</v>
      </c>
      <c r="F44" s="39">
        <v>929</v>
      </c>
      <c r="G44" s="18">
        <f t="shared" si="2"/>
        <v>200.57432569583264</v>
      </c>
    </row>
    <row r="45" spans="1:7" ht="12.75">
      <c r="A45" s="22">
        <f t="shared" si="1"/>
        <v>44520</v>
      </c>
      <c r="B45" s="18">
        <v>16799787.48</v>
      </c>
      <c r="C45" s="18">
        <v>174357.44</v>
      </c>
      <c r="D45" s="18">
        <f t="shared" si="0"/>
        <v>15460427.620000001</v>
      </c>
      <c r="E45" s="18">
        <v>1165002.4200000004</v>
      </c>
      <c r="F45" s="39">
        <v>929</v>
      </c>
      <c r="G45" s="18">
        <f t="shared" si="2"/>
        <v>179.14845763493778</v>
      </c>
    </row>
    <row r="46" spans="1:7" ht="12.75">
      <c r="A46" s="22">
        <f t="shared" si="1"/>
        <v>44527</v>
      </c>
      <c r="B46" s="18">
        <v>15731023.770000001</v>
      </c>
      <c r="C46" s="18">
        <v>138107.77000000002</v>
      </c>
      <c r="D46" s="18">
        <f t="shared" si="0"/>
        <v>14406621.520000001</v>
      </c>
      <c r="E46" s="18">
        <v>1186294.4800000002</v>
      </c>
      <c r="F46" s="39">
        <v>929</v>
      </c>
      <c r="G46" s="18">
        <f t="shared" si="2"/>
        <v>182.42264800861145</v>
      </c>
    </row>
    <row r="47" spans="1:7" ht="12.75">
      <c r="A47" s="22">
        <f t="shared" si="1"/>
        <v>44534</v>
      </c>
      <c r="B47" s="18">
        <v>16831587.25</v>
      </c>
      <c r="C47" s="18">
        <v>160132.24</v>
      </c>
      <c r="D47" s="18">
        <f t="shared" si="0"/>
        <v>15387851.65</v>
      </c>
      <c r="E47" s="18">
        <v>1283603.3599999999</v>
      </c>
      <c r="F47" s="39">
        <v>929</v>
      </c>
      <c r="G47" s="18">
        <f t="shared" si="2"/>
        <v>197.38633861294784</v>
      </c>
    </row>
    <row r="48" spans="1:7" ht="12.75">
      <c r="A48" s="22">
        <f t="shared" si="1"/>
        <v>44541</v>
      </c>
      <c r="B48" s="18">
        <v>13221458.11</v>
      </c>
      <c r="C48" s="18">
        <v>87596.04999999999</v>
      </c>
      <c r="D48" s="18">
        <f t="shared" si="0"/>
        <v>12075424.999999998</v>
      </c>
      <c r="E48" s="18">
        <v>1058437.06</v>
      </c>
      <c r="F48" s="39">
        <v>929</v>
      </c>
      <c r="G48" s="18">
        <f t="shared" si="2"/>
        <v>162.76135014608644</v>
      </c>
    </row>
    <row r="49" spans="1:7" ht="12.75">
      <c r="A49" s="22">
        <f t="shared" si="1"/>
        <v>44548</v>
      </c>
      <c r="B49" s="18">
        <v>15279040.47</v>
      </c>
      <c r="C49" s="18">
        <v>147337.2</v>
      </c>
      <c r="D49" s="18">
        <f t="shared" si="0"/>
        <v>14050372.88</v>
      </c>
      <c r="E49" s="18">
        <v>1081330.39</v>
      </c>
      <c r="F49" s="39">
        <v>929</v>
      </c>
      <c r="G49" s="18">
        <f t="shared" si="2"/>
        <v>166.2817761033369</v>
      </c>
    </row>
    <row r="50" spans="1:7" ht="12.75">
      <c r="A50" s="22">
        <f t="shared" si="1"/>
        <v>44555</v>
      </c>
      <c r="B50" s="18">
        <v>14258943.68</v>
      </c>
      <c r="C50" s="18">
        <v>139023.06999999998</v>
      </c>
      <c r="D50" s="18">
        <f t="shared" si="0"/>
        <v>13119029.32</v>
      </c>
      <c r="E50" s="18">
        <v>1000891.29</v>
      </c>
      <c r="F50" s="39">
        <v>929</v>
      </c>
      <c r="G50" s="18">
        <f t="shared" si="2"/>
        <v>153.9122389666308</v>
      </c>
    </row>
    <row r="51" spans="1:7" ht="12.75">
      <c r="A51" s="22">
        <f t="shared" si="1"/>
        <v>44562</v>
      </c>
      <c r="B51" s="18">
        <v>19839126.580000002</v>
      </c>
      <c r="C51" s="18">
        <v>243100.65000000002</v>
      </c>
      <c r="D51" s="18">
        <f t="shared" si="0"/>
        <v>18176719.180000003</v>
      </c>
      <c r="E51" s="18">
        <v>1419306.7499999998</v>
      </c>
      <c r="F51" s="39">
        <v>929</v>
      </c>
      <c r="G51" s="18">
        <f t="shared" si="2"/>
        <v>218.25415192987847</v>
      </c>
    </row>
    <row r="52" spans="1:7" ht="12.75">
      <c r="A52" s="22">
        <f t="shared" si="1"/>
        <v>44569</v>
      </c>
      <c r="B52" s="18">
        <v>15889527.520000001</v>
      </c>
      <c r="C52" s="18">
        <v>203491.03</v>
      </c>
      <c r="D52" s="18">
        <f t="shared" si="0"/>
        <v>14552153.780000003</v>
      </c>
      <c r="E52" s="18">
        <v>1133882.7099999997</v>
      </c>
      <c r="F52" s="39">
        <v>929</v>
      </c>
      <c r="G52" s="18">
        <f t="shared" si="2"/>
        <v>174.36301860679683</v>
      </c>
    </row>
    <row r="53" spans="1:7" ht="12.75">
      <c r="A53" s="22">
        <f t="shared" si="1"/>
        <v>44576</v>
      </c>
      <c r="B53" s="18">
        <v>14175555.06</v>
      </c>
      <c r="C53" s="18">
        <v>144555.34</v>
      </c>
      <c r="D53" s="18">
        <f t="shared" si="0"/>
        <v>13026805.170000002</v>
      </c>
      <c r="E53" s="18">
        <v>1004194.5499999996</v>
      </c>
      <c r="F53" s="39">
        <v>929</v>
      </c>
      <c r="G53" s="18">
        <f t="shared" si="2"/>
        <v>154.420198369983</v>
      </c>
    </row>
    <row r="54" spans="1:7" ht="12.75">
      <c r="A54" s="22">
        <f t="shared" si="1"/>
        <v>44583</v>
      </c>
      <c r="B54" s="18">
        <v>15791685.459999997</v>
      </c>
      <c r="C54" s="18">
        <v>180320.19</v>
      </c>
      <c r="D54" s="18">
        <f t="shared" si="0"/>
        <v>14482548.069999998</v>
      </c>
      <c r="E54" s="18">
        <v>1128817.1999999995</v>
      </c>
      <c r="F54" s="39">
        <v>929</v>
      </c>
      <c r="G54" s="18">
        <f t="shared" si="2"/>
        <v>173.58406889128085</v>
      </c>
    </row>
    <row r="55" spans="1:7" ht="12.75">
      <c r="A55" s="22">
        <f t="shared" si="1"/>
        <v>44590</v>
      </c>
      <c r="B55" s="18">
        <v>14841239.350000001</v>
      </c>
      <c r="C55" s="18">
        <v>150780.03</v>
      </c>
      <c r="D55" s="18">
        <f t="shared" si="0"/>
        <v>13642266.060000002</v>
      </c>
      <c r="E55" s="18">
        <v>1048193.2599999997</v>
      </c>
      <c r="F55" s="39">
        <v>929</v>
      </c>
      <c r="G55" s="18">
        <f t="shared" si="2"/>
        <v>161.1861079501768</v>
      </c>
    </row>
    <row r="56" spans="1:7" ht="12.75">
      <c r="A56" s="22">
        <f t="shared" si="1"/>
        <v>44597</v>
      </c>
      <c r="B56" s="18">
        <v>16961024.2</v>
      </c>
      <c r="C56" s="18">
        <v>186286.82</v>
      </c>
      <c r="D56" s="18">
        <f t="shared" si="0"/>
        <v>15573519.68</v>
      </c>
      <c r="E56" s="18">
        <v>1201217.6999999997</v>
      </c>
      <c r="F56" s="39">
        <v>929</v>
      </c>
      <c r="G56" s="18">
        <f t="shared" si="2"/>
        <v>184.71746886052588</v>
      </c>
    </row>
    <row r="57" spans="1:7" ht="12.75">
      <c r="A57" s="22">
        <f t="shared" si="1"/>
        <v>44604</v>
      </c>
      <c r="B57" s="18">
        <v>18093602.82</v>
      </c>
      <c r="C57" s="18">
        <v>169917.93</v>
      </c>
      <c r="D57" s="18">
        <f t="shared" si="0"/>
        <v>16569859.4</v>
      </c>
      <c r="E57" s="18">
        <v>1353825.4899999998</v>
      </c>
      <c r="F57" s="39">
        <v>929</v>
      </c>
      <c r="G57" s="18">
        <f t="shared" si="2"/>
        <v>208.18475934184218</v>
      </c>
    </row>
    <row r="58" spans="1:7" ht="12.75">
      <c r="A58" s="22">
        <f t="shared" si="1"/>
        <v>44611</v>
      </c>
      <c r="B58" s="18">
        <v>19033821.330000002</v>
      </c>
      <c r="C58" s="18">
        <v>197085.45</v>
      </c>
      <c r="D58" s="18">
        <f t="shared" si="0"/>
        <v>17503916.740000002</v>
      </c>
      <c r="E58" s="18">
        <v>1332819.1400000004</v>
      </c>
      <c r="F58" s="39">
        <v>929</v>
      </c>
      <c r="G58" s="18">
        <f t="shared" si="2"/>
        <v>204.95450407504237</v>
      </c>
    </row>
    <row r="59" spans="1:7" ht="12.75">
      <c r="A59" s="22">
        <f t="shared" si="1"/>
        <v>44618</v>
      </c>
      <c r="B59" s="18">
        <v>20851447.66</v>
      </c>
      <c r="C59" s="18">
        <v>140975.81</v>
      </c>
      <c r="D59" s="18">
        <f t="shared" si="0"/>
        <v>19114097.580000002</v>
      </c>
      <c r="E59" s="18">
        <v>1596374.2700000003</v>
      </c>
      <c r="F59" s="39">
        <v>929</v>
      </c>
      <c r="G59" s="18">
        <f t="shared" si="2"/>
        <v>245.48274181147167</v>
      </c>
    </row>
    <row r="60" spans="1:7" ht="12.75">
      <c r="A60" s="22">
        <f t="shared" si="1"/>
        <v>44625</v>
      </c>
      <c r="B60" s="18">
        <v>21638100.77</v>
      </c>
      <c r="C60" s="18">
        <v>187012.59</v>
      </c>
      <c r="D60" s="18">
        <f t="shared" si="0"/>
        <v>19845776.86</v>
      </c>
      <c r="E60" s="18">
        <v>1605311.3199999994</v>
      </c>
      <c r="F60" s="39">
        <v>929</v>
      </c>
      <c r="G60" s="18">
        <f t="shared" si="2"/>
        <v>246.85703829001991</v>
      </c>
    </row>
    <row r="61" spans="1:7" ht="12.75">
      <c r="A61" s="22">
        <f t="shared" si="1"/>
        <v>44632</v>
      </c>
      <c r="B61" s="18">
        <v>19315597.18</v>
      </c>
      <c r="C61" s="18">
        <v>172689.74</v>
      </c>
      <c r="D61" s="18">
        <f t="shared" si="0"/>
        <v>17739328.64</v>
      </c>
      <c r="E61" s="18">
        <v>1403578.7999999998</v>
      </c>
      <c r="F61" s="39">
        <v>929</v>
      </c>
      <c r="G61" s="18">
        <f t="shared" si="2"/>
        <v>215.83558357681068</v>
      </c>
    </row>
    <row r="62" spans="1:7" ht="12.75">
      <c r="A62" s="22">
        <f t="shared" si="1"/>
        <v>44639</v>
      </c>
      <c r="B62" s="18">
        <v>20808329.219999995</v>
      </c>
      <c r="C62" s="18">
        <v>141700.18000000002</v>
      </c>
      <c r="D62" s="18">
        <f t="shared" si="0"/>
        <v>19011883.819999997</v>
      </c>
      <c r="E62" s="18">
        <v>1654745.2200000002</v>
      </c>
      <c r="F62" s="39">
        <v>929</v>
      </c>
      <c r="G62" s="18">
        <f t="shared" si="2"/>
        <v>254.45874519452562</v>
      </c>
    </row>
    <row r="63" spans="1:7" ht="12.75">
      <c r="A63" s="22">
        <f t="shared" si="1"/>
        <v>44646</v>
      </c>
      <c r="B63" s="18">
        <v>19891700.58</v>
      </c>
      <c r="C63" s="18">
        <v>205190.3</v>
      </c>
      <c r="D63" s="18">
        <f t="shared" si="0"/>
        <v>18140737.729999997</v>
      </c>
      <c r="E63" s="18">
        <v>1545772.549999999</v>
      </c>
      <c r="F63" s="39">
        <v>929</v>
      </c>
      <c r="G63" s="18">
        <f t="shared" si="2"/>
        <v>237.70145317545735</v>
      </c>
    </row>
    <row r="64" ht="12.75">
      <c r="G64" s="15">
        <f>_xlfn.IFERROR((E64/F64/7),"")</f>
      </c>
    </row>
    <row r="65" spans="1:7" ht="13.5" thickBot="1">
      <c r="A65" s="22" t="s">
        <v>8</v>
      </c>
      <c r="B65" s="17">
        <f>IF(SUM(B12:B64)=0,"",SUM(B12:B64))</f>
        <v>880773837.39</v>
      </c>
      <c r="C65" s="17">
        <f>IF(SUM(C12:C64)=0,"",SUM(C12:C64))</f>
        <v>8046027.450000001</v>
      </c>
      <c r="D65" s="17">
        <f>IF(SUM(D12:D64)=0,"",SUM(D12:D64))</f>
        <v>808423241.03</v>
      </c>
      <c r="E65" s="17">
        <f>IF(SUM(E12:E64)=0,"",SUM(E12:E64))</f>
        <v>64304568.91</v>
      </c>
      <c r="F65" s="24">
        <f>_xlfn.IFERROR(SUM(F12:F64)/COUNT(F12:F64)," ")</f>
        <v>831.9615384615385</v>
      </c>
      <c r="G65" s="17">
        <f>_xlfn.IFERROR(E65/SUM(F12:F64)/7," ")</f>
        <v>212.34263296063187</v>
      </c>
    </row>
    <row r="66" spans="1:5" s="21" customFormat="1" ht="13.5" thickTop="1">
      <c r="A66" s="22"/>
      <c r="B66" s="20"/>
      <c r="C66" s="20"/>
      <c r="D66" s="20"/>
      <c r="E66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ySplit="10" topLeftCell="A22" activePane="bottomLeft" state="frozen"/>
      <selection pane="topLeft" activeCell="A1" sqref="A1"/>
      <selection pane="bottomLeft" activeCell="C42" sqref="C42"/>
    </sheetView>
  </sheetViews>
  <sheetFormatPr defaultColWidth="9.140625" defaultRowHeight="12.75"/>
  <cols>
    <col min="1" max="1" width="15.7109375" style="22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0" s="26" customFormat="1" ht="18">
      <c r="A1" s="42" t="s">
        <v>30</v>
      </c>
      <c r="B1" s="42"/>
      <c r="C1" s="42"/>
      <c r="D1" s="42"/>
      <c r="E1" s="42"/>
      <c r="F1" s="42"/>
      <c r="G1" s="42"/>
      <c r="H1" s="28"/>
      <c r="I1" s="28"/>
      <c r="J1" s="28"/>
    </row>
    <row r="2" spans="1:10" s="26" customFormat="1" ht="15">
      <c r="A2" s="43" t="s">
        <v>19</v>
      </c>
      <c r="B2" s="43"/>
      <c r="C2" s="43"/>
      <c r="D2" s="43"/>
      <c r="E2" s="43"/>
      <c r="F2" s="43"/>
      <c r="G2" s="43"/>
      <c r="H2" s="29"/>
      <c r="I2" s="29"/>
      <c r="J2" s="29"/>
    </row>
    <row r="3" spans="1:10" s="27" customFormat="1" ht="15">
      <c r="A3" s="43" t="s">
        <v>20</v>
      </c>
      <c r="B3" s="43"/>
      <c r="C3" s="43"/>
      <c r="D3" s="43"/>
      <c r="E3" s="43"/>
      <c r="F3" s="43"/>
      <c r="G3" s="43"/>
      <c r="H3" s="29"/>
      <c r="I3" s="29"/>
      <c r="J3" s="29"/>
    </row>
    <row r="4" spans="1:10" s="27" customFormat="1" ht="14.25">
      <c r="A4" s="44" t="s">
        <v>21</v>
      </c>
      <c r="B4" s="44"/>
      <c r="C4" s="44"/>
      <c r="D4" s="44"/>
      <c r="E4" s="44"/>
      <c r="F4" s="44"/>
      <c r="G4" s="44"/>
      <c r="H4" s="32"/>
      <c r="I4" s="30"/>
      <c r="J4" s="30"/>
    </row>
    <row r="5" spans="1:10" s="27" customFormat="1" ht="14.25">
      <c r="A5" s="45" t="s">
        <v>22</v>
      </c>
      <c r="B5" s="45"/>
      <c r="C5" s="45"/>
      <c r="D5" s="45"/>
      <c r="E5" s="45"/>
      <c r="F5" s="45"/>
      <c r="G5" s="45"/>
      <c r="H5" s="31"/>
      <c r="I5" s="31"/>
      <c r="J5" s="31"/>
    </row>
    <row r="6" spans="1:7" s="1" customFormat="1" ht="14.25">
      <c r="A6" s="33"/>
      <c r="B6" s="2"/>
      <c r="C6" s="2"/>
      <c r="D6" s="2"/>
      <c r="E6" s="2"/>
      <c r="F6" s="2"/>
      <c r="G6" s="2"/>
    </row>
    <row r="7" spans="1:7" s="7" customFormat="1" ht="14.25" customHeight="1">
      <c r="A7" s="46" t="s">
        <v>37</v>
      </c>
      <c r="B7" s="47"/>
      <c r="C7" s="47"/>
      <c r="D7" s="47"/>
      <c r="E7" s="47"/>
      <c r="F7" s="47"/>
      <c r="G7" s="48"/>
    </row>
    <row r="8" spans="1:7" s="1" customFormat="1" ht="9" customHeight="1">
      <c r="A8" s="22"/>
      <c r="B8" s="4"/>
      <c r="C8" s="4"/>
      <c r="D8" s="4"/>
      <c r="E8" s="5"/>
      <c r="F8" s="6"/>
      <c r="G8" s="5"/>
    </row>
    <row r="9" spans="1:7" s="12" customFormat="1" ht="12">
      <c r="A9" s="34"/>
      <c r="B9" s="10" t="s">
        <v>0</v>
      </c>
      <c r="C9" s="10" t="s">
        <v>26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35" t="s">
        <v>11</v>
      </c>
      <c r="B10" s="8" t="s">
        <v>3</v>
      </c>
      <c r="C10" s="8" t="s">
        <v>28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2">
        <v>43918</v>
      </c>
      <c r="B12" s="15">
        <v>0</v>
      </c>
      <c r="C12" s="15">
        <v>0</v>
      </c>
      <c r="D12" s="37">
        <f aca="true" t="shared" si="0" ref="D12:D63">IF(ISBLANK(B12),"",B12-C12-E12)</f>
        <v>0</v>
      </c>
      <c r="E12" s="15">
        <v>0</v>
      </c>
      <c r="F12" s="16">
        <v>0</v>
      </c>
      <c r="G12" s="15">
        <v>0</v>
      </c>
    </row>
    <row r="13" spans="1:7" ht="12.75">
      <c r="A13" s="22">
        <f aca="true" t="shared" si="1" ref="A13:A64">+A12+7</f>
        <v>43925</v>
      </c>
      <c r="B13" s="15">
        <v>0</v>
      </c>
      <c r="C13" s="15">
        <v>0</v>
      </c>
      <c r="D13" s="37">
        <f>IF(ISBLANK(B13),"",B13-C13-E13)</f>
        <v>0</v>
      </c>
      <c r="E13" s="15">
        <v>0</v>
      </c>
      <c r="F13" s="16">
        <v>0</v>
      </c>
      <c r="G13" s="15">
        <v>0</v>
      </c>
    </row>
    <row r="14" spans="1:7" ht="12.75">
      <c r="A14" s="22">
        <f t="shared" si="1"/>
        <v>43932</v>
      </c>
      <c r="B14" s="15">
        <v>0</v>
      </c>
      <c r="C14" s="15">
        <v>0</v>
      </c>
      <c r="D14" s="37">
        <f t="shared" si="0"/>
        <v>0</v>
      </c>
      <c r="E14" s="15">
        <v>0</v>
      </c>
      <c r="F14" s="16">
        <v>0</v>
      </c>
      <c r="G14" s="15">
        <v>0</v>
      </c>
    </row>
    <row r="15" spans="1:7" ht="12.75">
      <c r="A15" s="22">
        <f t="shared" si="1"/>
        <v>43939</v>
      </c>
      <c r="B15" s="15">
        <v>0</v>
      </c>
      <c r="C15" s="15">
        <v>0</v>
      </c>
      <c r="D15" s="37">
        <f>IF(ISBLANK(B15),"",B15-C15-E15)</f>
        <v>0</v>
      </c>
      <c r="E15" s="15">
        <v>0</v>
      </c>
      <c r="F15" s="16">
        <v>0</v>
      </c>
      <c r="G15" s="15">
        <v>0</v>
      </c>
    </row>
    <row r="16" spans="1:7" ht="12.75">
      <c r="A16" s="22">
        <f t="shared" si="1"/>
        <v>43946</v>
      </c>
      <c r="B16" s="15">
        <v>0</v>
      </c>
      <c r="C16" s="15">
        <v>0</v>
      </c>
      <c r="D16" s="37">
        <f>IF(ISBLANK(B16),"",B16-C16-E16)</f>
        <v>0</v>
      </c>
      <c r="E16" s="15">
        <v>0</v>
      </c>
      <c r="F16" s="16">
        <v>0</v>
      </c>
      <c r="G16" s="15">
        <v>0</v>
      </c>
    </row>
    <row r="17" spans="1:7" ht="12.75">
      <c r="A17" s="22">
        <f t="shared" si="1"/>
        <v>43953</v>
      </c>
      <c r="B17" s="15">
        <v>0</v>
      </c>
      <c r="C17" s="15">
        <v>0</v>
      </c>
      <c r="D17" s="37">
        <f aca="true" t="shared" si="2" ref="D17:D35">IF(ISBLANK(B17),"",B17-C17-E17)</f>
        <v>0</v>
      </c>
      <c r="E17" s="15">
        <v>0</v>
      </c>
      <c r="F17" s="16">
        <v>0</v>
      </c>
      <c r="G17" s="15">
        <v>0</v>
      </c>
    </row>
    <row r="18" spans="1:7" ht="12.75">
      <c r="A18" s="22">
        <f t="shared" si="1"/>
        <v>43960</v>
      </c>
      <c r="B18" s="15">
        <v>0</v>
      </c>
      <c r="C18" s="15">
        <v>0</v>
      </c>
      <c r="D18" s="37">
        <f t="shared" si="2"/>
        <v>0</v>
      </c>
      <c r="E18" s="15">
        <v>0</v>
      </c>
      <c r="F18" s="16">
        <v>0</v>
      </c>
      <c r="G18" s="15">
        <v>0</v>
      </c>
    </row>
    <row r="19" spans="1:7" ht="12.75">
      <c r="A19" s="22">
        <f t="shared" si="1"/>
        <v>43967</v>
      </c>
      <c r="B19" s="15">
        <v>0</v>
      </c>
      <c r="C19" s="15">
        <v>0</v>
      </c>
      <c r="D19" s="37">
        <f t="shared" si="2"/>
        <v>0</v>
      </c>
      <c r="E19" s="15">
        <v>0</v>
      </c>
      <c r="F19" s="16">
        <v>0</v>
      </c>
      <c r="G19" s="15">
        <v>0</v>
      </c>
    </row>
    <row r="20" spans="1:7" ht="12.75">
      <c r="A20" s="22">
        <f t="shared" si="1"/>
        <v>43974</v>
      </c>
      <c r="B20" s="15">
        <v>0</v>
      </c>
      <c r="C20" s="15">
        <v>0</v>
      </c>
      <c r="D20" s="37">
        <f t="shared" si="2"/>
        <v>0</v>
      </c>
      <c r="E20" s="15">
        <v>0</v>
      </c>
      <c r="F20" s="16">
        <v>0</v>
      </c>
      <c r="G20" s="15">
        <v>0</v>
      </c>
    </row>
    <row r="21" spans="1:7" ht="12.75">
      <c r="A21" s="22">
        <f t="shared" si="1"/>
        <v>43981</v>
      </c>
      <c r="B21" s="15">
        <v>0</v>
      </c>
      <c r="C21" s="15">
        <v>0</v>
      </c>
      <c r="D21" s="37">
        <f t="shared" si="2"/>
        <v>0</v>
      </c>
      <c r="E21" s="15">
        <v>0</v>
      </c>
      <c r="F21" s="16">
        <v>0</v>
      </c>
      <c r="G21" s="15">
        <v>0</v>
      </c>
    </row>
    <row r="22" spans="1:7" ht="12.75">
      <c r="A22" s="22">
        <f t="shared" si="1"/>
        <v>43988</v>
      </c>
      <c r="B22" s="15">
        <v>0</v>
      </c>
      <c r="C22" s="15">
        <v>0</v>
      </c>
      <c r="D22" s="37">
        <f t="shared" si="2"/>
        <v>0</v>
      </c>
      <c r="E22" s="15">
        <v>0</v>
      </c>
      <c r="F22" s="16">
        <v>0</v>
      </c>
      <c r="G22" s="15">
        <v>0</v>
      </c>
    </row>
    <row r="23" spans="1:7" ht="12.75">
      <c r="A23" s="22">
        <f t="shared" si="1"/>
        <v>43995</v>
      </c>
      <c r="B23" s="15">
        <v>0</v>
      </c>
      <c r="C23" s="15">
        <v>0</v>
      </c>
      <c r="D23" s="37">
        <f t="shared" si="2"/>
        <v>0</v>
      </c>
      <c r="E23" s="15">
        <v>0</v>
      </c>
      <c r="F23" s="16">
        <v>0</v>
      </c>
      <c r="G23" s="15">
        <v>0</v>
      </c>
    </row>
    <row r="24" spans="1:7" ht="12.75">
      <c r="A24" s="22">
        <f t="shared" si="1"/>
        <v>44002</v>
      </c>
      <c r="B24" s="15">
        <v>0</v>
      </c>
      <c r="C24" s="15">
        <v>0</v>
      </c>
      <c r="D24" s="37">
        <f t="shared" si="2"/>
        <v>0</v>
      </c>
      <c r="E24" s="15">
        <v>0</v>
      </c>
      <c r="F24" s="16">
        <v>0</v>
      </c>
      <c r="G24" s="15">
        <v>0</v>
      </c>
    </row>
    <row r="25" spans="1:7" ht="12.75">
      <c r="A25" s="22">
        <f t="shared" si="1"/>
        <v>44009</v>
      </c>
      <c r="B25" s="15">
        <v>0</v>
      </c>
      <c r="C25" s="15">
        <v>0</v>
      </c>
      <c r="D25" s="37">
        <f t="shared" si="2"/>
        <v>0</v>
      </c>
      <c r="E25" s="15">
        <v>0</v>
      </c>
      <c r="F25" s="16">
        <v>0</v>
      </c>
      <c r="G25" s="15">
        <v>0</v>
      </c>
    </row>
    <row r="26" spans="1:7" ht="12.75">
      <c r="A26" s="22">
        <f t="shared" si="1"/>
        <v>44016</v>
      </c>
      <c r="B26" s="15">
        <v>0</v>
      </c>
      <c r="C26" s="15">
        <v>0</v>
      </c>
      <c r="D26" s="37">
        <f t="shared" si="2"/>
        <v>0</v>
      </c>
      <c r="E26" s="15">
        <v>0</v>
      </c>
      <c r="F26" s="16">
        <v>0</v>
      </c>
      <c r="G26" s="15">
        <v>0</v>
      </c>
    </row>
    <row r="27" spans="1:7" ht="12.75">
      <c r="A27" s="22">
        <f t="shared" si="1"/>
        <v>44023</v>
      </c>
      <c r="B27" s="15">
        <v>0</v>
      </c>
      <c r="C27" s="15">
        <v>0</v>
      </c>
      <c r="D27" s="37">
        <f t="shared" si="2"/>
        <v>0</v>
      </c>
      <c r="E27" s="15">
        <v>0</v>
      </c>
      <c r="F27" s="16">
        <v>0</v>
      </c>
      <c r="G27" s="15">
        <v>0</v>
      </c>
    </row>
    <row r="28" spans="1:7" ht="12.75">
      <c r="A28" s="22">
        <f t="shared" si="1"/>
        <v>44030</v>
      </c>
      <c r="B28" s="15">
        <v>0</v>
      </c>
      <c r="C28" s="15">
        <v>0</v>
      </c>
      <c r="D28" s="37">
        <f t="shared" si="2"/>
        <v>0</v>
      </c>
      <c r="E28" s="15">
        <v>0</v>
      </c>
      <c r="F28" s="16">
        <v>0</v>
      </c>
      <c r="G28" s="15">
        <v>0</v>
      </c>
    </row>
    <row r="29" spans="1:7" ht="12.75">
      <c r="A29" s="22">
        <f t="shared" si="1"/>
        <v>44037</v>
      </c>
      <c r="B29" s="15">
        <v>0</v>
      </c>
      <c r="C29" s="15">
        <v>0</v>
      </c>
      <c r="D29" s="37">
        <f t="shared" si="2"/>
        <v>0</v>
      </c>
      <c r="E29" s="15">
        <v>0</v>
      </c>
      <c r="F29" s="16">
        <v>0</v>
      </c>
      <c r="G29" s="15">
        <v>0</v>
      </c>
    </row>
    <row r="30" spans="1:7" ht="12.75">
      <c r="A30" s="22">
        <f t="shared" si="1"/>
        <v>44044</v>
      </c>
      <c r="B30" s="15">
        <v>0</v>
      </c>
      <c r="C30" s="15">
        <v>0</v>
      </c>
      <c r="D30" s="37">
        <f t="shared" si="2"/>
        <v>0</v>
      </c>
      <c r="E30" s="15">
        <v>0</v>
      </c>
      <c r="F30" s="16">
        <v>0</v>
      </c>
      <c r="G30" s="15">
        <v>0</v>
      </c>
    </row>
    <row r="31" spans="1:7" ht="12.75">
      <c r="A31" s="22">
        <f t="shared" si="1"/>
        <v>44051</v>
      </c>
      <c r="B31" s="15">
        <v>0</v>
      </c>
      <c r="C31" s="15">
        <v>0</v>
      </c>
      <c r="D31" s="37">
        <f t="shared" si="2"/>
        <v>0</v>
      </c>
      <c r="E31" s="15">
        <v>0</v>
      </c>
      <c r="F31" s="16">
        <v>0</v>
      </c>
      <c r="G31" s="15">
        <v>0</v>
      </c>
    </row>
    <row r="32" spans="1:7" ht="12.75">
      <c r="A32" s="22">
        <f t="shared" si="1"/>
        <v>44058</v>
      </c>
      <c r="B32" s="15">
        <v>0</v>
      </c>
      <c r="C32" s="15">
        <v>0</v>
      </c>
      <c r="D32" s="37">
        <f t="shared" si="2"/>
        <v>0</v>
      </c>
      <c r="E32" s="15">
        <v>0</v>
      </c>
      <c r="F32" s="16">
        <v>0</v>
      </c>
      <c r="G32" s="15">
        <v>0</v>
      </c>
    </row>
    <row r="33" spans="1:7" ht="12.75">
      <c r="A33" s="22">
        <f t="shared" si="1"/>
        <v>44065</v>
      </c>
      <c r="B33" s="15">
        <v>0</v>
      </c>
      <c r="C33" s="15">
        <v>0</v>
      </c>
      <c r="D33" s="37">
        <f t="shared" si="2"/>
        <v>0</v>
      </c>
      <c r="E33" s="15">
        <v>0</v>
      </c>
      <c r="F33" s="16">
        <v>0</v>
      </c>
      <c r="G33" s="15">
        <v>0</v>
      </c>
    </row>
    <row r="34" spans="1:7" ht="12.75">
      <c r="A34" s="22">
        <f t="shared" si="1"/>
        <v>44072</v>
      </c>
      <c r="B34" s="15">
        <v>0</v>
      </c>
      <c r="C34" s="15">
        <v>0</v>
      </c>
      <c r="D34" s="37">
        <f t="shared" si="2"/>
        <v>0</v>
      </c>
      <c r="E34" s="15">
        <v>0</v>
      </c>
      <c r="F34" s="16">
        <v>0</v>
      </c>
      <c r="G34" s="15">
        <v>0</v>
      </c>
    </row>
    <row r="35" spans="1:7" ht="12.75">
      <c r="A35" s="22">
        <f t="shared" si="1"/>
        <v>44079</v>
      </c>
      <c r="B35" s="15">
        <v>0</v>
      </c>
      <c r="C35" s="15">
        <v>0</v>
      </c>
      <c r="D35" s="37">
        <f t="shared" si="2"/>
        <v>0</v>
      </c>
      <c r="E35" s="15">
        <v>0</v>
      </c>
      <c r="F35" s="16">
        <v>0</v>
      </c>
      <c r="G35" s="15">
        <v>0</v>
      </c>
    </row>
    <row r="36" spans="1:7" ht="12.75">
      <c r="A36" s="22">
        <f t="shared" si="1"/>
        <v>44086</v>
      </c>
      <c r="B36" s="15">
        <v>7749132.1</v>
      </c>
      <c r="C36" s="15">
        <v>47452.53</v>
      </c>
      <c r="D36" s="37">
        <f t="shared" si="0"/>
        <v>7095627.6</v>
      </c>
      <c r="E36" s="15">
        <v>606051.9700000001</v>
      </c>
      <c r="F36" s="16">
        <v>347</v>
      </c>
      <c r="G36" s="15">
        <f>IF(ISBLANK(B36),"",E36/F36/4)</f>
        <v>436.63686599423636</v>
      </c>
    </row>
    <row r="37" spans="1:7" ht="12.75">
      <c r="A37" s="22">
        <f t="shared" si="1"/>
        <v>44093</v>
      </c>
      <c r="B37" s="15">
        <v>11639697.600000001</v>
      </c>
      <c r="C37" s="15">
        <v>78295.94</v>
      </c>
      <c r="D37" s="37">
        <f t="shared" si="0"/>
        <v>10650494.100000001</v>
      </c>
      <c r="E37" s="15">
        <v>910907.5599999998</v>
      </c>
      <c r="F37" s="16">
        <v>347</v>
      </c>
      <c r="G37" s="15">
        <f aca="true" t="shared" si="3" ref="G37:G62">IF(ISBLANK(B37),"",E37/F37/7)</f>
        <v>375.0134046932894</v>
      </c>
    </row>
    <row r="38" spans="1:7" ht="12.75">
      <c r="A38" s="22">
        <f t="shared" si="1"/>
        <v>44100</v>
      </c>
      <c r="B38" s="15">
        <v>11044037.87</v>
      </c>
      <c r="C38" s="15">
        <v>76600.60999999999</v>
      </c>
      <c r="D38" s="37">
        <f t="shared" si="0"/>
        <v>10081609.27</v>
      </c>
      <c r="E38" s="15">
        <v>885827.99</v>
      </c>
      <c r="F38" s="16">
        <v>347</v>
      </c>
      <c r="G38" s="15">
        <f t="shared" si="3"/>
        <v>364.6883449979415</v>
      </c>
    </row>
    <row r="39" spans="1:7" ht="12.75">
      <c r="A39" s="22">
        <f t="shared" si="1"/>
        <v>44107</v>
      </c>
      <c r="B39" s="15">
        <v>11461737.25</v>
      </c>
      <c r="C39" s="15">
        <v>75501.42</v>
      </c>
      <c r="D39" s="37">
        <f t="shared" si="0"/>
        <v>10499456.29</v>
      </c>
      <c r="E39" s="15">
        <v>886779.54</v>
      </c>
      <c r="F39" s="16">
        <v>347</v>
      </c>
      <c r="G39" s="15">
        <f t="shared" si="3"/>
        <v>365.080090572252</v>
      </c>
    </row>
    <row r="40" spans="1:7" ht="12.75">
      <c r="A40" s="22">
        <f t="shared" si="1"/>
        <v>44114</v>
      </c>
      <c r="B40" s="15">
        <v>11224245.049999999</v>
      </c>
      <c r="C40" s="15">
        <v>71226.27</v>
      </c>
      <c r="D40" s="37">
        <f t="shared" si="0"/>
        <v>10268900.29</v>
      </c>
      <c r="E40" s="15">
        <v>884118.49</v>
      </c>
      <c r="F40" s="16">
        <v>370</v>
      </c>
      <c r="G40" s="15">
        <f t="shared" si="3"/>
        <v>341.3584903474903</v>
      </c>
    </row>
    <row r="41" spans="1:7" ht="12.75">
      <c r="A41" s="22">
        <f t="shared" si="1"/>
        <v>44121</v>
      </c>
      <c r="B41" s="15">
        <v>12031994.14</v>
      </c>
      <c r="C41" s="15">
        <v>87135.45</v>
      </c>
      <c r="D41" s="37">
        <f t="shared" si="0"/>
        <v>11045290.840000002</v>
      </c>
      <c r="E41" s="15">
        <v>899567.85</v>
      </c>
      <c r="F41" s="16">
        <v>374</v>
      </c>
      <c r="G41" s="15">
        <f t="shared" si="3"/>
        <v>343.60880443086324</v>
      </c>
    </row>
    <row r="42" spans="1:7" ht="12.75">
      <c r="A42" s="22">
        <f t="shared" si="1"/>
        <v>44128</v>
      </c>
      <c r="B42" s="15">
        <v>11364986.489999998</v>
      </c>
      <c r="C42" s="38">
        <v>-161482.67</v>
      </c>
      <c r="D42" s="37">
        <f t="shared" si="0"/>
        <v>10417857.169999998</v>
      </c>
      <c r="E42" s="15">
        <v>1108611.99</v>
      </c>
      <c r="F42" s="16">
        <v>380</v>
      </c>
      <c r="G42" s="15">
        <f t="shared" si="3"/>
        <v>416.7714248120301</v>
      </c>
    </row>
    <row r="43" spans="1:7" ht="12.75">
      <c r="A43" s="22">
        <f t="shared" si="1"/>
        <v>44135</v>
      </c>
      <c r="B43" s="15">
        <v>12373892.94</v>
      </c>
      <c r="C43" s="15">
        <v>109305.24</v>
      </c>
      <c r="D43" s="37">
        <f t="shared" si="0"/>
        <v>11403555.309999999</v>
      </c>
      <c r="E43" s="15">
        <v>861032.3900000004</v>
      </c>
      <c r="F43" s="16">
        <v>395</v>
      </c>
      <c r="G43" s="15">
        <f t="shared" si="3"/>
        <v>311.40411934900555</v>
      </c>
    </row>
    <row r="44" spans="1:7" ht="12.75">
      <c r="A44" s="22">
        <f t="shared" si="1"/>
        <v>44142</v>
      </c>
      <c r="B44" s="15">
        <v>11354551.45</v>
      </c>
      <c r="C44" s="15">
        <v>105995.97</v>
      </c>
      <c r="D44" s="37">
        <f t="shared" si="0"/>
        <v>10444837.69</v>
      </c>
      <c r="E44" s="15">
        <v>803717.7899999997</v>
      </c>
      <c r="F44" s="16">
        <v>395</v>
      </c>
      <c r="G44" s="15">
        <f t="shared" si="3"/>
        <v>290.6755117540686</v>
      </c>
    </row>
    <row r="45" spans="1:7" ht="12.75">
      <c r="A45" s="22">
        <f t="shared" si="1"/>
        <v>44149</v>
      </c>
      <c r="B45" s="15">
        <v>11862950.95</v>
      </c>
      <c r="C45" s="15">
        <v>135695.91999999998</v>
      </c>
      <c r="D45" s="37">
        <f t="shared" si="0"/>
        <v>10899861.37</v>
      </c>
      <c r="E45" s="15">
        <v>827393.6600000001</v>
      </c>
      <c r="F45" s="16">
        <v>395</v>
      </c>
      <c r="G45" s="15">
        <f t="shared" si="3"/>
        <v>299.2382133815552</v>
      </c>
    </row>
    <row r="46" spans="1:7" ht="12.75">
      <c r="A46" s="22">
        <f t="shared" si="1"/>
        <v>44156</v>
      </c>
      <c r="B46" s="15">
        <v>8129886.21</v>
      </c>
      <c r="C46" s="15">
        <v>86728.07999999999</v>
      </c>
      <c r="D46" s="37">
        <f t="shared" si="0"/>
        <v>7485853.56</v>
      </c>
      <c r="E46" s="15">
        <v>557304.5700000001</v>
      </c>
      <c r="F46" s="16">
        <v>395</v>
      </c>
      <c r="G46" s="15">
        <f t="shared" si="3"/>
        <v>201.55680650994577</v>
      </c>
    </row>
    <row r="47" spans="1:7" ht="12.75">
      <c r="A47" s="22">
        <f t="shared" si="1"/>
        <v>44163</v>
      </c>
      <c r="B47" s="15">
        <v>9067980.05</v>
      </c>
      <c r="C47" s="15">
        <v>115723.89</v>
      </c>
      <c r="D47" s="37">
        <f t="shared" si="0"/>
        <v>8233213.7</v>
      </c>
      <c r="E47" s="15">
        <v>719042.4600000002</v>
      </c>
      <c r="F47" s="16">
        <v>427</v>
      </c>
      <c r="G47" s="15">
        <f t="shared" si="3"/>
        <v>240.56288390766147</v>
      </c>
    </row>
    <row r="48" spans="1:7" ht="12.75">
      <c r="A48" s="22">
        <f t="shared" si="1"/>
        <v>44170</v>
      </c>
      <c r="B48" s="15">
        <v>8247757.75</v>
      </c>
      <c r="C48" s="15">
        <v>96601.24</v>
      </c>
      <c r="D48" s="37">
        <f t="shared" si="0"/>
        <v>7563913.2299999995</v>
      </c>
      <c r="E48" s="15">
        <v>587243.2799999999</v>
      </c>
      <c r="F48" s="16">
        <v>433</v>
      </c>
      <c r="G48" s="15">
        <f t="shared" si="3"/>
        <v>193.7457208841966</v>
      </c>
    </row>
    <row r="49" spans="1:7" ht="12.75">
      <c r="A49" s="22">
        <f t="shared" si="1"/>
        <v>44177</v>
      </c>
      <c r="B49" s="15">
        <v>9635904.58</v>
      </c>
      <c r="C49" s="15">
        <v>114835.73000000001</v>
      </c>
      <c r="D49" s="37">
        <f t="shared" si="0"/>
        <v>8918893.27</v>
      </c>
      <c r="E49" s="15">
        <v>602175.58</v>
      </c>
      <c r="F49" s="16">
        <v>435</v>
      </c>
      <c r="G49" s="15">
        <f t="shared" si="3"/>
        <v>197.75881116584563</v>
      </c>
    </row>
    <row r="50" spans="1:7" ht="12.75">
      <c r="A50" s="22">
        <f t="shared" si="1"/>
        <v>44184</v>
      </c>
      <c r="B50" s="15">
        <v>8816505.81</v>
      </c>
      <c r="C50" s="15">
        <v>98751.9</v>
      </c>
      <c r="D50" s="37">
        <f t="shared" si="0"/>
        <v>8134869.3</v>
      </c>
      <c r="E50" s="15">
        <v>582884.61</v>
      </c>
      <c r="F50" s="16">
        <v>437</v>
      </c>
      <c r="G50" s="15">
        <f t="shared" si="3"/>
        <v>190.54743707093823</v>
      </c>
    </row>
    <row r="51" spans="1:7" ht="12.75">
      <c r="A51" s="22">
        <f t="shared" si="1"/>
        <v>44191</v>
      </c>
      <c r="B51" s="15">
        <v>7692198.110000001</v>
      </c>
      <c r="C51" s="15">
        <v>93307.01</v>
      </c>
      <c r="D51" s="37">
        <f t="shared" si="0"/>
        <v>7035428.880000001</v>
      </c>
      <c r="E51" s="15">
        <v>563462.2200000002</v>
      </c>
      <c r="F51" s="16">
        <v>437</v>
      </c>
      <c r="G51" s="15">
        <f t="shared" si="3"/>
        <v>184.19817587446886</v>
      </c>
    </row>
    <row r="52" spans="1:7" ht="12.75">
      <c r="A52" s="22">
        <f t="shared" si="1"/>
        <v>44198</v>
      </c>
      <c r="B52" s="15">
        <v>14009829.760000002</v>
      </c>
      <c r="C52" s="15">
        <v>185084.51</v>
      </c>
      <c r="D52" s="37">
        <f t="shared" si="0"/>
        <v>12853231.080000002</v>
      </c>
      <c r="E52" s="15">
        <v>971514.1699999998</v>
      </c>
      <c r="F52" s="16">
        <v>437</v>
      </c>
      <c r="G52" s="15">
        <f t="shared" si="3"/>
        <v>317.59207911082046</v>
      </c>
    </row>
    <row r="53" spans="1:7" ht="12.75">
      <c r="A53" s="22">
        <f t="shared" si="1"/>
        <v>44205</v>
      </c>
      <c r="B53" s="15">
        <v>11463807.66</v>
      </c>
      <c r="C53" s="15">
        <v>114067.03</v>
      </c>
      <c r="D53" s="37">
        <f t="shared" si="0"/>
        <v>10495054.31</v>
      </c>
      <c r="E53" s="15">
        <v>854686.3200000001</v>
      </c>
      <c r="F53" s="16">
        <v>450</v>
      </c>
      <c r="G53" s="15">
        <f t="shared" si="3"/>
        <v>271.3289904761905</v>
      </c>
    </row>
    <row r="54" spans="1:7" ht="12.75">
      <c r="A54" s="22">
        <f t="shared" si="1"/>
        <v>44212</v>
      </c>
      <c r="B54" s="15">
        <v>12355555.59</v>
      </c>
      <c r="C54" s="15">
        <v>120984.46</v>
      </c>
      <c r="D54" s="37">
        <f t="shared" si="0"/>
        <v>11313926.51</v>
      </c>
      <c r="E54" s="15">
        <v>920644.6199999999</v>
      </c>
      <c r="F54" s="16">
        <v>485</v>
      </c>
      <c r="G54" s="15">
        <f t="shared" si="3"/>
        <v>271.176618556701</v>
      </c>
    </row>
    <row r="55" spans="1:7" ht="12.75">
      <c r="A55" s="22">
        <f t="shared" si="1"/>
        <v>44219</v>
      </c>
      <c r="B55" s="15">
        <v>12251197.03</v>
      </c>
      <c r="C55" s="15">
        <v>141426.99</v>
      </c>
      <c r="D55" s="37">
        <f t="shared" si="0"/>
        <v>11281770.639999999</v>
      </c>
      <c r="E55" s="15">
        <v>827999.4</v>
      </c>
      <c r="F55" s="16">
        <v>495</v>
      </c>
      <c r="G55" s="15">
        <f t="shared" si="3"/>
        <v>238.9608658008658</v>
      </c>
    </row>
    <row r="56" spans="1:7" ht="12.75">
      <c r="A56" s="22">
        <f t="shared" si="1"/>
        <v>44226</v>
      </c>
      <c r="B56" s="15">
        <v>11829567.709999999</v>
      </c>
      <c r="C56" s="15">
        <v>115700.46000000002</v>
      </c>
      <c r="D56" s="37">
        <f t="shared" si="0"/>
        <v>10923588.469999999</v>
      </c>
      <c r="E56" s="15">
        <v>790278.7799999998</v>
      </c>
      <c r="F56" s="16">
        <v>495</v>
      </c>
      <c r="G56" s="15">
        <f t="shared" si="3"/>
        <v>228.07468398268392</v>
      </c>
    </row>
    <row r="57" spans="1:7" ht="12.75">
      <c r="A57" s="22">
        <f t="shared" si="1"/>
        <v>44233</v>
      </c>
      <c r="B57" s="15">
        <v>10732564.11</v>
      </c>
      <c r="C57" s="15">
        <v>118249.25</v>
      </c>
      <c r="D57" s="37">
        <f t="shared" si="0"/>
        <v>9926843.67</v>
      </c>
      <c r="E57" s="15">
        <v>687471.19</v>
      </c>
      <c r="F57" s="16">
        <v>495</v>
      </c>
      <c r="G57" s="15">
        <f t="shared" si="3"/>
        <v>198.40438383838384</v>
      </c>
    </row>
    <row r="58" spans="1:7" ht="12.75">
      <c r="A58" s="22">
        <f t="shared" si="1"/>
        <v>44240</v>
      </c>
      <c r="B58" s="15">
        <v>12397280.239999998</v>
      </c>
      <c r="C58" s="15">
        <v>139618.65000000002</v>
      </c>
      <c r="D58" s="37">
        <f t="shared" si="0"/>
        <v>11390265.299999999</v>
      </c>
      <c r="E58" s="15">
        <v>867396.2899999999</v>
      </c>
      <c r="F58" s="16">
        <v>495</v>
      </c>
      <c r="G58" s="15">
        <f t="shared" si="3"/>
        <v>250.3308196248196</v>
      </c>
    </row>
    <row r="59" spans="1:7" ht="12.75">
      <c r="A59" s="22">
        <f t="shared" si="1"/>
        <v>44247</v>
      </c>
      <c r="B59" s="15">
        <v>12272720.42</v>
      </c>
      <c r="C59" s="15">
        <v>151714.04</v>
      </c>
      <c r="D59" s="37">
        <f t="shared" si="0"/>
        <v>11237387.05</v>
      </c>
      <c r="E59" s="15">
        <v>883619.3299999998</v>
      </c>
      <c r="F59" s="16">
        <v>495</v>
      </c>
      <c r="G59" s="15">
        <f t="shared" si="3"/>
        <v>255.0127936507936</v>
      </c>
    </row>
    <row r="60" spans="1:7" ht="12.75">
      <c r="A60" s="22">
        <f t="shared" si="1"/>
        <v>44254</v>
      </c>
      <c r="B60" s="15">
        <v>14461025.49</v>
      </c>
      <c r="C60" s="15">
        <v>150625.80000000002</v>
      </c>
      <c r="D60" s="37">
        <f t="shared" si="0"/>
        <v>13230767.059999999</v>
      </c>
      <c r="E60" s="15">
        <v>1079632.63</v>
      </c>
      <c r="F60" s="16">
        <v>495</v>
      </c>
      <c r="G60" s="15">
        <f t="shared" si="3"/>
        <v>311.58228860028856</v>
      </c>
    </row>
    <row r="61" spans="1:7" ht="12.75">
      <c r="A61" s="22">
        <f t="shared" si="1"/>
        <v>44261</v>
      </c>
      <c r="B61" s="15">
        <v>14262584.200000001</v>
      </c>
      <c r="C61" s="15">
        <v>143647.48</v>
      </c>
      <c r="D61" s="37">
        <f t="shared" si="0"/>
        <v>13140002.67</v>
      </c>
      <c r="E61" s="15">
        <v>978934.0500000005</v>
      </c>
      <c r="F61" s="16">
        <v>495</v>
      </c>
      <c r="G61" s="15">
        <f t="shared" si="3"/>
        <v>282.5206493506495</v>
      </c>
    </row>
    <row r="62" spans="1:7" ht="12.75">
      <c r="A62" s="22">
        <f t="shared" si="1"/>
        <v>44268</v>
      </c>
      <c r="B62" s="15">
        <v>14357460.629999999</v>
      </c>
      <c r="C62" s="15">
        <v>136429.94</v>
      </c>
      <c r="D62" s="37">
        <f t="shared" si="0"/>
        <v>13168377.760000004</v>
      </c>
      <c r="E62" s="15">
        <v>1052652.9299999964</v>
      </c>
      <c r="F62" s="16">
        <v>495</v>
      </c>
      <c r="G62" s="15">
        <f t="shared" si="3"/>
        <v>303.79593939393834</v>
      </c>
    </row>
    <row r="63" spans="1:7" ht="12.75">
      <c r="A63" s="22">
        <f t="shared" si="1"/>
        <v>44275</v>
      </c>
      <c r="B63" s="15">
        <v>15827434.16</v>
      </c>
      <c r="C63" s="15">
        <v>137333.16999999998</v>
      </c>
      <c r="D63" s="37">
        <f t="shared" si="0"/>
        <v>14449368.42</v>
      </c>
      <c r="E63" s="15">
        <v>1240732.5700000008</v>
      </c>
      <c r="F63" s="16">
        <v>495</v>
      </c>
      <c r="G63" s="15">
        <f>IF(ISBLANK(B63),"",E63/F63/7)</f>
        <v>358.075777777778</v>
      </c>
    </row>
    <row r="64" spans="1:7" ht="12.75">
      <c r="A64" s="22">
        <f t="shared" si="1"/>
        <v>44282</v>
      </c>
      <c r="B64" s="15">
        <v>15955187.090000002</v>
      </c>
      <c r="C64" s="15">
        <v>148864.58</v>
      </c>
      <c r="D64" s="37">
        <f>IF(ISBLANK(B64),"",B64-C64-E64)</f>
        <v>14608896.340000002</v>
      </c>
      <c r="E64" s="15">
        <v>1197426.17</v>
      </c>
      <c r="F64" s="16">
        <v>495</v>
      </c>
      <c r="G64" s="15">
        <f>IF(ISBLANK(B64),"",E64/F64/7)</f>
        <v>345.5775382395382</v>
      </c>
    </row>
    <row r="65" ht="12.75">
      <c r="G65" s="15">
        <f>_xlfn.IFERROR((E65/F65/7),"")</f>
      </c>
    </row>
    <row r="66" spans="1:7" ht="13.5" thickBot="1">
      <c r="A66" s="22" t="s">
        <v>8</v>
      </c>
      <c r="B66" s="17">
        <f>SUM(B12:B65)</f>
        <v>335873672.44</v>
      </c>
      <c r="C66" s="17">
        <f>SUM(C12:C65)</f>
        <v>3035420.8899999997</v>
      </c>
      <c r="D66" s="17">
        <f>SUM(D12:D65)</f>
        <v>308199141.15000004</v>
      </c>
      <c r="E66" s="17">
        <f>SUM(E12:E65)</f>
        <v>24639110.39999999</v>
      </c>
      <c r="F66" s="24">
        <f>_xlfn.IFERROR(SUM(F36:F65)/COUNT(F36:F65)," ")</f>
        <v>433.8965517241379</v>
      </c>
      <c r="G66" s="17">
        <f>E66/F66/200</f>
        <v>283.9283960899626</v>
      </c>
    </row>
    <row r="67" spans="1:5" s="21" customFormat="1" ht="13.5" thickTop="1">
      <c r="A67" s="22"/>
      <c r="B67" s="20"/>
      <c r="C67" s="20"/>
      <c r="D67" s="20"/>
      <c r="E67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G65" sqref="G65"/>
    </sheetView>
  </sheetViews>
  <sheetFormatPr defaultColWidth="9.140625" defaultRowHeight="12.75"/>
  <cols>
    <col min="1" max="1" width="15.7109375" style="22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0" s="26" customFormat="1" ht="18">
      <c r="A1" s="42" t="s">
        <v>30</v>
      </c>
      <c r="B1" s="42"/>
      <c r="C1" s="42"/>
      <c r="D1" s="42"/>
      <c r="E1" s="42"/>
      <c r="F1" s="42"/>
      <c r="G1" s="42"/>
      <c r="H1" s="28"/>
      <c r="I1" s="28"/>
      <c r="J1" s="28"/>
    </row>
    <row r="2" spans="1:10" s="26" customFormat="1" ht="15">
      <c r="A2" s="43" t="s">
        <v>19</v>
      </c>
      <c r="B2" s="43"/>
      <c r="C2" s="43"/>
      <c r="D2" s="43"/>
      <c r="E2" s="43"/>
      <c r="F2" s="43"/>
      <c r="G2" s="43"/>
      <c r="H2" s="29"/>
      <c r="I2" s="29"/>
      <c r="J2" s="29"/>
    </row>
    <row r="3" spans="1:10" s="27" customFormat="1" ht="15">
      <c r="A3" s="43" t="s">
        <v>20</v>
      </c>
      <c r="B3" s="43"/>
      <c r="C3" s="43"/>
      <c r="D3" s="43"/>
      <c r="E3" s="43"/>
      <c r="F3" s="43"/>
      <c r="G3" s="43"/>
      <c r="H3" s="29"/>
      <c r="I3" s="29"/>
      <c r="J3" s="29"/>
    </row>
    <row r="4" spans="1:10" s="27" customFormat="1" ht="14.25">
      <c r="A4" s="44" t="s">
        <v>21</v>
      </c>
      <c r="B4" s="44"/>
      <c r="C4" s="44"/>
      <c r="D4" s="44"/>
      <c r="E4" s="44"/>
      <c r="F4" s="44"/>
      <c r="G4" s="44"/>
      <c r="H4" s="32"/>
      <c r="I4" s="30"/>
      <c r="J4" s="30"/>
    </row>
    <row r="5" spans="1:10" s="27" customFormat="1" ht="14.25">
      <c r="A5" s="45" t="s">
        <v>22</v>
      </c>
      <c r="B5" s="45"/>
      <c r="C5" s="45"/>
      <c r="D5" s="45"/>
      <c r="E5" s="45"/>
      <c r="F5" s="45"/>
      <c r="G5" s="45"/>
      <c r="H5" s="31"/>
      <c r="I5" s="31"/>
      <c r="J5" s="31"/>
    </row>
    <row r="6" spans="1:7" s="1" customFormat="1" ht="14.25">
      <c r="A6" s="33"/>
      <c r="B6" s="2"/>
      <c r="C6" s="2"/>
      <c r="D6" s="2"/>
      <c r="E6" s="2"/>
      <c r="F6" s="2"/>
      <c r="G6" s="2"/>
    </row>
    <row r="7" spans="1:7" s="7" customFormat="1" ht="14.25" customHeight="1">
      <c r="A7" s="46" t="s">
        <v>36</v>
      </c>
      <c r="B7" s="47"/>
      <c r="C7" s="47"/>
      <c r="D7" s="47"/>
      <c r="E7" s="47"/>
      <c r="F7" s="47"/>
      <c r="G7" s="48"/>
    </row>
    <row r="8" spans="1:7" s="1" customFormat="1" ht="9" customHeight="1">
      <c r="A8" s="22"/>
      <c r="B8" s="4"/>
      <c r="C8" s="4"/>
      <c r="D8" s="4"/>
      <c r="E8" s="5"/>
      <c r="F8" s="6"/>
      <c r="G8" s="5"/>
    </row>
    <row r="9" spans="1:7" s="12" customFormat="1" ht="12">
      <c r="A9" s="34"/>
      <c r="B9" s="10" t="s">
        <v>0</v>
      </c>
      <c r="C9" s="10" t="s">
        <v>26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35" t="s">
        <v>11</v>
      </c>
      <c r="B10" s="8" t="s">
        <v>3</v>
      </c>
      <c r="C10" s="8" t="s">
        <v>28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2">
        <v>43554</v>
      </c>
      <c r="B12" s="15">
        <v>17234983</v>
      </c>
      <c r="C12" s="15">
        <v>112992</v>
      </c>
      <c r="D12" s="37">
        <f aca="true" t="shared" si="0" ref="D12:D63">IF(ISBLANK(B12),"",B12-C12-E12)</f>
        <v>15873708</v>
      </c>
      <c r="E12" s="15">
        <v>1248283</v>
      </c>
      <c r="F12" s="16">
        <f>6286/7</f>
        <v>898</v>
      </c>
      <c r="G12" s="15">
        <f>IF(ISBLANK(B12),"",E12/F12/7)</f>
        <v>198.5814508431435</v>
      </c>
    </row>
    <row r="13" spans="1:7" ht="12.75">
      <c r="A13" s="22">
        <f aca="true" t="shared" si="1" ref="A13:A63">+A12+7</f>
        <v>43561</v>
      </c>
      <c r="B13" s="15">
        <v>18124501.86</v>
      </c>
      <c r="C13" s="15">
        <v>169729.69</v>
      </c>
      <c r="D13" s="37">
        <f t="shared" si="0"/>
        <v>16674626.109999998</v>
      </c>
      <c r="E13" s="15">
        <v>1280146.06</v>
      </c>
      <c r="F13" s="16">
        <f>6286/7</f>
        <v>898</v>
      </c>
      <c r="G13" s="15">
        <f aca="true" t="shared" si="2" ref="G13:G62">IF(ISBLANK(B13),"",E13/F13/7)</f>
        <v>203.6503436207445</v>
      </c>
    </row>
    <row r="14" spans="1:7" ht="12.75">
      <c r="A14" s="22">
        <f t="shared" si="1"/>
        <v>43568</v>
      </c>
      <c r="B14" s="15">
        <v>18260673.52</v>
      </c>
      <c r="C14" s="15">
        <f>185733.54-98952.63</f>
        <v>86780.91</v>
      </c>
      <c r="D14" s="37">
        <f t="shared" si="0"/>
        <v>16633857.739999998</v>
      </c>
      <c r="E14" s="15">
        <v>1540034.87</v>
      </c>
      <c r="F14" s="16">
        <f>6286/7</f>
        <v>898</v>
      </c>
      <c r="G14" s="15">
        <f t="shared" si="2"/>
        <v>244.99441139039138</v>
      </c>
    </row>
    <row r="15" spans="1:7" ht="12.75">
      <c r="A15" s="22">
        <f t="shared" si="1"/>
        <v>43575</v>
      </c>
      <c r="B15" s="15">
        <v>16116050</v>
      </c>
      <c r="C15" s="15">
        <v>154460</v>
      </c>
      <c r="D15" s="37">
        <f t="shared" si="0"/>
        <v>14718948</v>
      </c>
      <c r="E15" s="15">
        <v>1242642</v>
      </c>
      <c r="F15" s="16">
        <f>6286/7</f>
        <v>898</v>
      </c>
      <c r="G15" s="15">
        <f t="shared" si="2"/>
        <v>197.68405981546292</v>
      </c>
    </row>
    <row r="16" spans="1:7" ht="12.75">
      <c r="A16" s="22">
        <f t="shared" si="1"/>
        <v>43582</v>
      </c>
      <c r="B16" s="15">
        <v>18942406.66</v>
      </c>
      <c r="C16" s="15">
        <v>203976.11</v>
      </c>
      <c r="D16" s="37">
        <f t="shared" si="0"/>
        <v>17361521.29</v>
      </c>
      <c r="E16" s="15">
        <v>1376909.26</v>
      </c>
      <c r="F16" s="16">
        <f>6256/7</f>
        <v>893.7142857142857</v>
      </c>
      <c r="G16" s="15">
        <f t="shared" si="2"/>
        <v>220.0941911764706</v>
      </c>
    </row>
    <row r="17" spans="1:7" ht="12.75">
      <c r="A17" s="22">
        <f t="shared" si="1"/>
        <v>43589</v>
      </c>
      <c r="B17" s="15">
        <v>18958273.85</v>
      </c>
      <c r="C17" s="15">
        <v>221715.16</v>
      </c>
      <c r="D17" s="37">
        <f t="shared" si="0"/>
        <v>17333916.42</v>
      </c>
      <c r="E17" s="15">
        <v>1402642.27</v>
      </c>
      <c r="F17" s="16">
        <f>6251/7</f>
        <v>893</v>
      </c>
      <c r="G17" s="15">
        <f t="shared" si="2"/>
        <v>224.38686130219165</v>
      </c>
    </row>
    <row r="18" spans="1:7" ht="12.75">
      <c r="A18" s="22">
        <f t="shared" si="1"/>
        <v>43596</v>
      </c>
      <c r="B18" s="15">
        <v>16662033.57</v>
      </c>
      <c r="C18" s="15">
        <v>100487.86000000002</v>
      </c>
      <c r="D18" s="37">
        <f t="shared" si="0"/>
        <v>15194449.33</v>
      </c>
      <c r="E18" s="15">
        <v>1367096.3800000013</v>
      </c>
      <c r="F18" s="16">
        <f>6251/7</f>
        <v>893</v>
      </c>
      <c r="G18" s="15">
        <f t="shared" si="2"/>
        <v>218.70042873140318</v>
      </c>
    </row>
    <row r="19" spans="1:7" ht="12.75">
      <c r="A19" s="22">
        <f t="shared" si="1"/>
        <v>43603</v>
      </c>
      <c r="B19" s="15">
        <v>17350149.52</v>
      </c>
      <c r="C19" s="15">
        <v>177458.1</v>
      </c>
      <c r="D19" s="37">
        <f t="shared" si="0"/>
        <v>15905357.999999998</v>
      </c>
      <c r="E19" s="15">
        <v>1267333.42</v>
      </c>
      <c r="F19" s="16">
        <f>6047/7</f>
        <v>863.8571428571429</v>
      </c>
      <c r="G19" s="15">
        <f t="shared" si="2"/>
        <v>209.58052257317675</v>
      </c>
    </row>
    <row r="20" spans="1:7" ht="12.75">
      <c r="A20" s="22">
        <f t="shared" si="1"/>
        <v>43610</v>
      </c>
      <c r="B20" s="15">
        <v>16454015</v>
      </c>
      <c r="C20" s="15">
        <v>187668</v>
      </c>
      <c r="D20" s="37">
        <f t="shared" si="0"/>
        <v>15042913</v>
      </c>
      <c r="E20" s="15">
        <v>1223434</v>
      </c>
      <c r="F20" s="16">
        <f>5963/7</f>
        <v>851.8571428571429</v>
      </c>
      <c r="G20" s="15">
        <f t="shared" si="2"/>
        <v>205.17088713734697</v>
      </c>
    </row>
    <row r="21" spans="1:7" ht="12.75">
      <c r="A21" s="22">
        <f t="shared" si="1"/>
        <v>43617</v>
      </c>
      <c r="B21" s="15">
        <v>18067742.8</v>
      </c>
      <c r="C21" s="15">
        <v>203099.85</v>
      </c>
      <c r="D21" s="37">
        <f t="shared" si="0"/>
        <v>16562461.7</v>
      </c>
      <c r="E21" s="15">
        <v>1302181.25</v>
      </c>
      <c r="F21" s="16">
        <f>5971/7</f>
        <v>853</v>
      </c>
      <c r="G21" s="15">
        <f t="shared" si="2"/>
        <v>218.08428236476303</v>
      </c>
    </row>
    <row r="22" spans="1:7" ht="12.75">
      <c r="A22" s="22">
        <f t="shared" si="1"/>
        <v>43624</v>
      </c>
      <c r="B22" s="15">
        <v>17150160.93</v>
      </c>
      <c r="C22" s="15">
        <f>269062.81-96974.4</f>
        <v>172088.41</v>
      </c>
      <c r="D22" s="37">
        <f t="shared" si="0"/>
        <v>15759952.78</v>
      </c>
      <c r="E22" s="15">
        <v>1218119.74</v>
      </c>
      <c r="F22" s="16">
        <f>6199/7</f>
        <v>885.5714285714286</v>
      </c>
      <c r="G22" s="15">
        <f t="shared" si="2"/>
        <v>196.50261977738344</v>
      </c>
    </row>
    <row r="23" spans="1:7" ht="12.75">
      <c r="A23" s="22">
        <f t="shared" si="1"/>
        <v>43631</v>
      </c>
      <c r="B23" s="15">
        <v>17413203.79</v>
      </c>
      <c r="C23" s="15">
        <v>217753.84</v>
      </c>
      <c r="D23" s="37">
        <f t="shared" si="0"/>
        <v>15982206.26</v>
      </c>
      <c r="E23" s="15">
        <v>1213243.69</v>
      </c>
      <c r="F23" s="16">
        <f>6503/7</f>
        <v>929</v>
      </c>
      <c r="G23" s="15">
        <f t="shared" si="2"/>
        <v>186.56676764570196</v>
      </c>
    </row>
    <row r="24" spans="1:7" ht="12.75">
      <c r="A24" s="22">
        <f t="shared" si="1"/>
        <v>43638</v>
      </c>
      <c r="B24" s="15">
        <v>18101322.26</v>
      </c>
      <c r="C24" s="15">
        <v>248469.41</v>
      </c>
      <c r="D24" s="37">
        <f t="shared" si="0"/>
        <v>16566308.46</v>
      </c>
      <c r="E24" s="15">
        <v>1286544.39</v>
      </c>
      <c r="F24" s="16">
        <f>6503/7</f>
        <v>929</v>
      </c>
      <c r="G24" s="15">
        <f t="shared" si="2"/>
        <v>197.83859603260035</v>
      </c>
    </row>
    <row r="25" spans="1:7" ht="12.75">
      <c r="A25" s="22">
        <f t="shared" si="1"/>
        <v>43645</v>
      </c>
      <c r="B25" s="15">
        <v>16041534.06</v>
      </c>
      <c r="C25" s="15">
        <v>187691.77</v>
      </c>
      <c r="D25" s="37">
        <f t="shared" si="0"/>
        <v>14698899.790000001</v>
      </c>
      <c r="E25" s="15">
        <v>1154942.5</v>
      </c>
      <c r="F25" s="16">
        <f>6503/7</f>
        <v>929</v>
      </c>
      <c r="G25" s="15">
        <f t="shared" si="2"/>
        <v>177.60149161925264</v>
      </c>
    </row>
    <row r="26" spans="1:7" ht="12.75">
      <c r="A26" s="22">
        <f t="shared" si="1"/>
        <v>43652</v>
      </c>
      <c r="B26" s="15">
        <v>20825848.7</v>
      </c>
      <c r="C26" s="15">
        <v>358942.49</v>
      </c>
      <c r="D26" s="37">
        <f t="shared" si="0"/>
        <v>18984554.41</v>
      </c>
      <c r="E26" s="15">
        <v>1482351.8</v>
      </c>
      <c r="F26" s="16">
        <f>6503/7</f>
        <v>929</v>
      </c>
      <c r="G26" s="15">
        <f t="shared" si="2"/>
        <v>227.94891588497617</v>
      </c>
    </row>
    <row r="27" spans="1:7" ht="12.75">
      <c r="A27" s="22">
        <f t="shared" si="1"/>
        <v>43659</v>
      </c>
      <c r="B27" s="15">
        <v>16524555.63</v>
      </c>
      <c r="C27" s="15">
        <f>191082.41-95859.9</f>
        <v>95222.51000000001</v>
      </c>
      <c r="D27" s="37">
        <f t="shared" si="0"/>
        <v>15168294.16</v>
      </c>
      <c r="E27" s="15">
        <v>1261038.96</v>
      </c>
      <c r="F27" s="16">
        <f>6503/7</f>
        <v>929</v>
      </c>
      <c r="G27" s="15">
        <f t="shared" si="2"/>
        <v>193.91649392588036</v>
      </c>
    </row>
    <row r="28" spans="1:7" ht="12.75">
      <c r="A28" s="22">
        <f t="shared" si="1"/>
        <v>43666</v>
      </c>
      <c r="B28" s="15">
        <v>17991215.07</v>
      </c>
      <c r="C28" s="15">
        <v>227631.96</v>
      </c>
      <c r="D28" s="37">
        <f t="shared" si="0"/>
        <v>16467909.959999999</v>
      </c>
      <c r="E28" s="15">
        <v>1295673.15</v>
      </c>
      <c r="F28" s="16">
        <v>929</v>
      </c>
      <c r="G28" s="15">
        <f t="shared" si="2"/>
        <v>199.24237275103795</v>
      </c>
    </row>
    <row r="29" spans="1:7" ht="12.75">
      <c r="A29" s="22">
        <f t="shared" si="1"/>
        <v>43673</v>
      </c>
      <c r="B29" s="15">
        <v>16524826.24</v>
      </c>
      <c r="C29" s="15">
        <v>200931.31</v>
      </c>
      <c r="D29" s="37">
        <f t="shared" si="0"/>
        <v>15107825.459999999</v>
      </c>
      <c r="E29" s="15">
        <v>1216069.47</v>
      </c>
      <c r="F29" s="16">
        <v>929</v>
      </c>
      <c r="G29" s="15">
        <f t="shared" si="2"/>
        <v>187.00130247578042</v>
      </c>
    </row>
    <row r="30" spans="1:7" ht="12.75">
      <c r="A30" s="22">
        <f t="shared" si="1"/>
        <v>43680</v>
      </c>
      <c r="B30" s="15">
        <v>17236471.03</v>
      </c>
      <c r="C30" s="15">
        <v>199449.9</v>
      </c>
      <c r="D30" s="37">
        <f t="shared" si="0"/>
        <v>15812000.660000002</v>
      </c>
      <c r="E30" s="15">
        <v>1225020.47</v>
      </c>
      <c r="F30" s="16">
        <f aca="true" t="shared" si="3" ref="F30:F51">6503/7</f>
        <v>929</v>
      </c>
      <c r="G30" s="15">
        <f t="shared" si="2"/>
        <v>188.37774411809934</v>
      </c>
    </row>
    <row r="31" spans="1:7" ht="12.75">
      <c r="A31" s="22">
        <f t="shared" si="1"/>
        <v>43687</v>
      </c>
      <c r="B31" s="15">
        <v>12201351.12</v>
      </c>
      <c r="C31" s="15">
        <v>151336.6</v>
      </c>
      <c r="D31" s="37">
        <f t="shared" si="0"/>
        <v>11212278.04</v>
      </c>
      <c r="E31" s="15">
        <v>837736.48</v>
      </c>
      <c r="F31" s="16">
        <f t="shared" si="3"/>
        <v>929</v>
      </c>
      <c r="G31" s="15">
        <f t="shared" si="2"/>
        <v>128.82307857911732</v>
      </c>
    </row>
    <row r="32" spans="1:7" ht="12.75">
      <c r="A32" s="22">
        <f t="shared" si="1"/>
        <v>43694</v>
      </c>
      <c r="B32" s="15">
        <v>12831914.57</v>
      </c>
      <c r="C32" s="15">
        <v>101292.94</v>
      </c>
      <c r="D32" s="37">
        <f t="shared" si="0"/>
        <v>11710883.670000002</v>
      </c>
      <c r="E32" s="15">
        <v>1019737.9599999997</v>
      </c>
      <c r="F32" s="16">
        <f t="shared" si="3"/>
        <v>929</v>
      </c>
      <c r="G32" s="15">
        <f t="shared" si="2"/>
        <v>156.8103890512071</v>
      </c>
    </row>
    <row r="33" spans="1:7" ht="12.75">
      <c r="A33" s="22">
        <f t="shared" si="1"/>
        <v>43701</v>
      </c>
      <c r="B33" s="15">
        <v>16862956.88</v>
      </c>
      <c r="C33" s="15">
        <v>197592.07999999996</v>
      </c>
      <c r="D33" s="37">
        <f t="shared" si="0"/>
        <v>15477899</v>
      </c>
      <c r="E33" s="15">
        <v>1187465.7999999993</v>
      </c>
      <c r="F33" s="16">
        <f t="shared" si="3"/>
        <v>929</v>
      </c>
      <c r="G33" s="15">
        <f t="shared" si="2"/>
        <v>182.60276795325223</v>
      </c>
    </row>
    <row r="34" spans="1:7" ht="12.75">
      <c r="A34" s="22">
        <f t="shared" si="1"/>
        <v>43708</v>
      </c>
      <c r="B34" s="15">
        <v>16566159.2</v>
      </c>
      <c r="C34" s="15">
        <v>163937.81999999998</v>
      </c>
      <c r="D34" s="37">
        <f t="shared" si="0"/>
        <v>15168357.2</v>
      </c>
      <c r="E34" s="15">
        <v>1233864.1799999995</v>
      </c>
      <c r="F34" s="16">
        <f t="shared" si="3"/>
        <v>929</v>
      </c>
      <c r="G34" s="15">
        <f t="shared" si="2"/>
        <v>189.7376872212824</v>
      </c>
    </row>
    <row r="35" spans="1:7" ht="12.75">
      <c r="A35" s="22">
        <f t="shared" si="1"/>
        <v>43715</v>
      </c>
      <c r="B35" s="15">
        <v>19016710.490000002</v>
      </c>
      <c r="C35" s="15">
        <v>97860.57</v>
      </c>
      <c r="D35" s="37">
        <f t="shared" si="0"/>
        <v>17502400.410000004</v>
      </c>
      <c r="E35" s="15">
        <v>1416449.5099999998</v>
      </c>
      <c r="F35" s="16">
        <f t="shared" si="3"/>
        <v>929</v>
      </c>
      <c r="G35" s="15">
        <f t="shared" si="2"/>
        <v>217.81477933261567</v>
      </c>
    </row>
    <row r="36" spans="1:7" ht="12.75">
      <c r="A36" s="22">
        <f t="shared" si="1"/>
        <v>43722</v>
      </c>
      <c r="B36" s="15">
        <v>16422762.95</v>
      </c>
      <c r="C36" s="15">
        <v>181576.88</v>
      </c>
      <c r="D36" s="37">
        <f t="shared" si="0"/>
        <v>15016569.83</v>
      </c>
      <c r="E36" s="15">
        <v>1224616.2399999986</v>
      </c>
      <c r="F36" s="16">
        <f t="shared" si="3"/>
        <v>929</v>
      </c>
      <c r="G36" s="15">
        <f t="shared" si="2"/>
        <v>188.3155835768105</v>
      </c>
    </row>
    <row r="37" spans="1:7" ht="12.75">
      <c r="A37" s="22">
        <f t="shared" si="1"/>
        <v>43729</v>
      </c>
      <c r="B37" s="15">
        <v>15982410.21</v>
      </c>
      <c r="C37" s="15">
        <v>191413.66</v>
      </c>
      <c r="D37" s="37">
        <f t="shared" si="0"/>
        <v>14604773.69</v>
      </c>
      <c r="E37" s="15">
        <v>1186222.8600000015</v>
      </c>
      <c r="F37" s="16">
        <f t="shared" si="3"/>
        <v>929</v>
      </c>
      <c r="G37" s="15">
        <f t="shared" si="2"/>
        <v>182.41163463017094</v>
      </c>
    </row>
    <row r="38" spans="1:7" ht="12.75">
      <c r="A38" s="22">
        <f t="shared" si="1"/>
        <v>43736</v>
      </c>
      <c r="B38" s="15">
        <v>16235248.63</v>
      </c>
      <c r="C38" s="15">
        <v>171813.82</v>
      </c>
      <c r="D38" s="37">
        <f t="shared" si="0"/>
        <v>14931025.190000001</v>
      </c>
      <c r="E38" s="15">
        <v>1132409.62</v>
      </c>
      <c r="F38" s="16">
        <f t="shared" si="3"/>
        <v>929</v>
      </c>
      <c r="G38" s="15">
        <f t="shared" si="2"/>
        <v>174.1364939258804</v>
      </c>
    </row>
    <row r="39" spans="1:7" ht="12.75">
      <c r="A39" s="22">
        <f t="shared" si="1"/>
        <v>43743</v>
      </c>
      <c r="B39" s="15">
        <v>16873740.68</v>
      </c>
      <c r="C39" s="15">
        <v>206711.95</v>
      </c>
      <c r="D39" s="37">
        <f t="shared" si="0"/>
        <v>15392500.28</v>
      </c>
      <c r="E39" s="15">
        <v>1274528.450000001</v>
      </c>
      <c r="F39" s="16">
        <f t="shared" si="3"/>
        <v>929</v>
      </c>
      <c r="G39" s="15">
        <f t="shared" si="2"/>
        <v>195.9908426879903</v>
      </c>
    </row>
    <row r="40" spans="1:7" ht="12.75">
      <c r="A40" s="22">
        <f t="shared" si="1"/>
        <v>43750</v>
      </c>
      <c r="B40" s="15">
        <v>15375286.56</v>
      </c>
      <c r="C40" s="15">
        <v>153247.4</v>
      </c>
      <c r="D40" s="37">
        <f t="shared" si="0"/>
        <v>14068495.62</v>
      </c>
      <c r="E40" s="15">
        <v>1153543.5400000005</v>
      </c>
      <c r="F40" s="16">
        <f t="shared" si="3"/>
        <v>929</v>
      </c>
      <c r="G40" s="15">
        <f t="shared" si="2"/>
        <v>177.38636629248046</v>
      </c>
    </row>
    <row r="41" spans="1:7" ht="12.75">
      <c r="A41" s="22">
        <f t="shared" si="1"/>
        <v>43757</v>
      </c>
      <c r="B41" s="15">
        <v>17860351.45</v>
      </c>
      <c r="C41" s="15">
        <v>97702.25999999998</v>
      </c>
      <c r="D41" s="37">
        <f t="shared" si="0"/>
        <v>16425624.149999999</v>
      </c>
      <c r="E41" s="15">
        <v>1337025.0399999993</v>
      </c>
      <c r="F41" s="16">
        <f t="shared" si="3"/>
        <v>929</v>
      </c>
      <c r="G41" s="15">
        <f t="shared" si="2"/>
        <v>205.60126710748872</v>
      </c>
    </row>
    <row r="42" spans="1:7" ht="12.75">
      <c r="A42" s="22">
        <f t="shared" si="1"/>
        <v>43764</v>
      </c>
      <c r="B42" s="15">
        <v>15608290.44</v>
      </c>
      <c r="C42" s="15">
        <v>166243.27000000002</v>
      </c>
      <c r="D42" s="37">
        <f t="shared" si="0"/>
        <v>14277749.13</v>
      </c>
      <c r="E42" s="15">
        <v>1164298.0399999996</v>
      </c>
      <c r="F42" s="16">
        <f t="shared" si="3"/>
        <v>929</v>
      </c>
      <c r="G42" s="15">
        <f t="shared" si="2"/>
        <v>179.04014147316616</v>
      </c>
    </row>
    <row r="43" spans="1:7" ht="12.75">
      <c r="A43" s="22">
        <f t="shared" si="1"/>
        <v>43771</v>
      </c>
      <c r="B43" s="15">
        <v>17031102.290000003</v>
      </c>
      <c r="C43" s="15">
        <v>251323.09000000003</v>
      </c>
      <c r="D43" s="37">
        <f t="shared" si="0"/>
        <v>15663333.340000002</v>
      </c>
      <c r="E43" s="15">
        <v>1116445.8600000017</v>
      </c>
      <c r="F43" s="16">
        <f t="shared" si="3"/>
        <v>929</v>
      </c>
      <c r="G43" s="15">
        <f t="shared" si="2"/>
        <v>171.68166384745527</v>
      </c>
    </row>
    <row r="44" spans="1:7" ht="12.75">
      <c r="A44" s="22">
        <f t="shared" si="1"/>
        <v>43778</v>
      </c>
      <c r="B44" s="15">
        <v>16980063.91</v>
      </c>
      <c r="C44" s="15">
        <v>191757.1</v>
      </c>
      <c r="D44" s="37">
        <f t="shared" si="0"/>
        <v>15598928.419999998</v>
      </c>
      <c r="E44" s="15">
        <v>1189378.39</v>
      </c>
      <c r="F44" s="16">
        <f t="shared" si="3"/>
        <v>929</v>
      </c>
      <c r="G44" s="15">
        <f t="shared" si="2"/>
        <v>182.89687682608024</v>
      </c>
    </row>
    <row r="45" spans="1:7" ht="12.75">
      <c r="A45" s="22">
        <f t="shared" si="1"/>
        <v>43785</v>
      </c>
      <c r="B45" s="15">
        <v>17501656.279999997</v>
      </c>
      <c r="C45" s="15">
        <v>143948.95</v>
      </c>
      <c r="D45" s="37">
        <f t="shared" si="0"/>
        <v>16027334.82</v>
      </c>
      <c r="E45" s="15">
        <v>1330372.5099999972</v>
      </c>
      <c r="F45" s="16">
        <f t="shared" si="3"/>
        <v>929</v>
      </c>
      <c r="G45" s="15">
        <f t="shared" si="2"/>
        <v>204.57827310472047</v>
      </c>
    </row>
    <row r="46" spans="1:7" ht="12.75">
      <c r="A46" s="22">
        <f t="shared" si="1"/>
        <v>43792</v>
      </c>
      <c r="B46" s="15">
        <v>15071730.7</v>
      </c>
      <c r="C46" s="15">
        <v>159516.38</v>
      </c>
      <c r="D46" s="37">
        <f t="shared" si="0"/>
        <v>13729861.74</v>
      </c>
      <c r="E46" s="15">
        <v>1182352.5799999987</v>
      </c>
      <c r="F46" s="16">
        <f t="shared" si="3"/>
        <v>929</v>
      </c>
      <c r="G46" s="15">
        <f t="shared" si="2"/>
        <v>181.8164816238657</v>
      </c>
    </row>
    <row r="47" spans="1:7" ht="12.75">
      <c r="A47" s="22">
        <f t="shared" si="1"/>
        <v>43799</v>
      </c>
      <c r="B47" s="15">
        <v>15741513.390000002</v>
      </c>
      <c r="C47" s="15">
        <v>210168.71000000002</v>
      </c>
      <c r="D47" s="37">
        <f t="shared" si="0"/>
        <v>14428117.889999999</v>
      </c>
      <c r="E47" s="15">
        <v>1103226.7900000035</v>
      </c>
      <c r="F47" s="16">
        <f t="shared" si="3"/>
        <v>929</v>
      </c>
      <c r="G47" s="15">
        <f t="shared" si="2"/>
        <v>169.64889896970683</v>
      </c>
    </row>
    <row r="48" spans="1:7" ht="12.75">
      <c r="A48" s="22">
        <f t="shared" si="1"/>
        <v>43806</v>
      </c>
      <c r="B48" s="15">
        <v>14230509.920000002</v>
      </c>
      <c r="C48" s="15">
        <v>158775.5</v>
      </c>
      <c r="D48" s="37">
        <f t="shared" si="0"/>
        <v>13028178.730000002</v>
      </c>
      <c r="E48" s="15">
        <v>1043555.6899999996</v>
      </c>
      <c r="F48" s="16">
        <f t="shared" si="3"/>
        <v>929</v>
      </c>
      <c r="G48" s="15">
        <f t="shared" si="2"/>
        <v>160.47296478548355</v>
      </c>
    </row>
    <row r="49" spans="1:7" ht="12.75">
      <c r="A49" s="22">
        <f t="shared" si="1"/>
        <v>43813</v>
      </c>
      <c r="B49" s="15">
        <v>14495969.6</v>
      </c>
      <c r="C49" s="15">
        <v>46432.02999999997</v>
      </c>
      <c r="D49" s="37">
        <f t="shared" si="0"/>
        <v>13277994.3</v>
      </c>
      <c r="E49" s="15">
        <v>1171543.2699999996</v>
      </c>
      <c r="F49" s="16">
        <f t="shared" si="3"/>
        <v>929</v>
      </c>
      <c r="G49" s="15">
        <f t="shared" si="2"/>
        <v>180.1542780255266</v>
      </c>
    </row>
    <row r="50" spans="1:7" ht="12.75">
      <c r="A50" s="22">
        <f t="shared" si="1"/>
        <v>43820</v>
      </c>
      <c r="B50" s="15">
        <v>13852499.84</v>
      </c>
      <c r="C50" s="15">
        <v>149171.31</v>
      </c>
      <c r="D50" s="37">
        <f t="shared" si="0"/>
        <v>12652975.11</v>
      </c>
      <c r="E50" s="15">
        <v>1050353.42</v>
      </c>
      <c r="F50" s="16">
        <f t="shared" si="3"/>
        <v>929</v>
      </c>
      <c r="G50" s="15">
        <f t="shared" si="2"/>
        <v>161.51828694448713</v>
      </c>
    </row>
    <row r="51" spans="1:7" ht="12.75">
      <c r="A51" s="22">
        <f t="shared" si="1"/>
        <v>43827</v>
      </c>
      <c r="B51" s="15">
        <v>18268574.830000002</v>
      </c>
      <c r="C51" s="15">
        <v>178831.94999999998</v>
      </c>
      <c r="D51" s="37">
        <f t="shared" si="0"/>
        <v>16726598.020000001</v>
      </c>
      <c r="E51" s="15">
        <v>1363144.860000001</v>
      </c>
      <c r="F51" s="16">
        <f t="shared" si="3"/>
        <v>929</v>
      </c>
      <c r="G51" s="15">
        <f t="shared" si="2"/>
        <v>209.61784714747054</v>
      </c>
    </row>
    <row r="52" spans="1:7" ht="12.75">
      <c r="A52" s="22">
        <f t="shared" si="1"/>
        <v>43834</v>
      </c>
      <c r="B52" s="15">
        <v>20184213.78</v>
      </c>
      <c r="C52" s="15">
        <v>256172.82</v>
      </c>
      <c r="D52" s="37">
        <f t="shared" si="0"/>
        <v>18491905.11</v>
      </c>
      <c r="E52" s="15">
        <v>1436135.85</v>
      </c>
      <c r="F52" s="16">
        <f aca="true" t="shared" si="4" ref="F52:F62">6503/7</f>
        <v>929</v>
      </c>
      <c r="G52" s="15">
        <f t="shared" si="2"/>
        <v>220.84204982315856</v>
      </c>
    </row>
    <row r="53" spans="1:7" ht="12.75">
      <c r="A53" s="22">
        <f t="shared" si="1"/>
        <v>43841</v>
      </c>
      <c r="B53" s="15">
        <v>16951347.52</v>
      </c>
      <c r="C53" s="15">
        <v>26336.73999999999</v>
      </c>
      <c r="D53" s="37">
        <f t="shared" si="0"/>
        <v>15495249.900000002</v>
      </c>
      <c r="E53" s="15">
        <v>1429760.8799999985</v>
      </c>
      <c r="F53" s="16">
        <f t="shared" si="4"/>
        <v>929</v>
      </c>
      <c r="G53" s="15">
        <f t="shared" si="2"/>
        <v>219.8617376595415</v>
      </c>
    </row>
    <row r="54" spans="1:7" ht="12.75">
      <c r="A54" s="22">
        <f t="shared" si="1"/>
        <v>43848</v>
      </c>
      <c r="B54" s="15">
        <v>15305218.219999999</v>
      </c>
      <c r="C54" s="15">
        <v>151651.72</v>
      </c>
      <c r="D54" s="37">
        <f t="shared" si="0"/>
        <v>13979707.6</v>
      </c>
      <c r="E54" s="15">
        <v>1173858.8999999992</v>
      </c>
      <c r="F54" s="16">
        <f t="shared" si="4"/>
        <v>929</v>
      </c>
      <c r="G54" s="15">
        <f t="shared" si="2"/>
        <v>180.5103644471781</v>
      </c>
    </row>
    <row r="55" spans="1:7" ht="12.75">
      <c r="A55" s="22">
        <f t="shared" si="1"/>
        <v>43855</v>
      </c>
      <c r="B55" s="15">
        <v>17714142.66</v>
      </c>
      <c r="C55" s="15">
        <v>213031.56999999998</v>
      </c>
      <c r="D55" s="37">
        <f t="shared" si="0"/>
        <v>16287722.31</v>
      </c>
      <c r="E55" s="15">
        <v>1213388.7799999998</v>
      </c>
      <c r="F55" s="16">
        <f t="shared" si="4"/>
        <v>929</v>
      </c>
      <c r="G55" s="15">
        <f t="shared" si="2"/>
        <v>186.58907888666766</v>
      </c>
    </row>
    <row r="56" spans="1:7" ht="12.75">
      <c r="A56" s="22">
        <f t="shared" si="1"/>
        <v>43862</v>
      </c>
      <c r="B56" s="15">
        <v>17165286.41</v>
      </c>
      <c r="C56" s="15">
        <v>195160.5</v>
      </c>
      <c r="D56" s="37">
        <f t="shared" si="0"/>
        <v>15762757.42</v>
      </c>
      <c r="E56" s="15">
        <v>1207368.49</v>
      </c>
      <c r="F56" s="16">
        <f t="shared" si="4"/>
        <v>929</v>
      </c>
      <c r="G56" s="15">
        <f t="shared" si="2"/>
        <v>185.66330770413654</v>
      </c>
    </row>
    <row r="57" spans="1:7" ht="12.75">
      <c r="A57" s="22">
        <f t="shared" si="1"/>
        <v>43869</v>
      </c>
      <c r="B57" s="15">
        <v>16207683.76</v>
      </c>
      <c r="C57" s="15">
        <v>156230.88000000003</v>
      </c>
      <c r="D57" s="37">
        <f t="shared" si="0"/>
        <v>14844860.219999999</v>
      </c>
      <c r="E57" s="15">
        <v>1206592.6599999995</v>
      </c>
      <c r="F57" s="16">
        <f t="shared" si="4"/>
        <v>929</v>
      </c>
      <c r="G57" s="15">
        <f t="shared" si="2"/>
        <v>185.54400430570496</v>
      </c>
    </row>
    <row r="58" spans="1:7" ht="12.75">
      <c r="A58" s="22">
        <f t="shared" si="1"/>
        <v>43876</v>
      </c>
      <c r="B58" s="15">
        <v>17285474.46</v>
      </c>
      <c r="C58" s="15">
        <v>216265.75999999998</v>
      </c>
      <c r="D58" s="37">
        <f t="shared" si="0"/>
        <v>15801287.319999998</v>
      </c>
      <c r="E58" s="15">
        <v>1267921.3800000006</v>
      </c>
      <c r="F58" s="16">
        <f t="shared" si="4"/>
        <v>929</v>
      </c>
      <c r="G58" s="15">
        <f t="shared" si="2"/>
        <v>194.97483930493627</v>
      </c>
    </row>
    <row r="59" spans="1:7" ht="12.75">
      <c r="A59" s="22">
        <f t="shared" si="1"/>
        <v>43883</v>
      </c>
      <c r="B59" s="15">
        <v>19146087.95</v>
      </c>
      <c r="C59" s="15">
        <v>219126.83000000002</v>
      </c>
      <c r="D59" s="37">
        <f t="shared" si="0"/>
        <v>17488164.85</v>
      </c>
      <c r="E59" s="15">
        <v>1438796.2699999993</v>
      </c>
      <c r="F59" s="16">
        <f t="shared" si="4"/>
        <v>929</v>
      </c>
      <c r="G59" s="15">
        <f t="shared" si="2"/>
        <v>221.25115638935864</v>
      </c>
    </row>
    <row r="60" spans="1:7" ht="12.75">
      <c r="A60" s="22">
        <f t="shared" si="1"/>
        <v>43890</v>
      </c>
      <c r="B60" s="15">
        <v>18204302.080000002</v>
      </c>
      <c r="C60" s="15">
        <v>189905.85</v>
      </c>
      <c r="D60" s="37">
        <f t="shared" si="0"/>
        <v>16724996.609999996</v>
      </c>
      <c r="E60" s="15">
        <v>1289399.6200000045</v>
      </c>
      <c r="F60" s="16">
        <f t="shared" si="4"/>
        <v>929</v>
      </c>
      <c r="G60" s="15">
        <f t="shared" si="2"/>
        <v>198.27765954175067</v>
      </c>
    </row>
    <row r="61" spans="1:7" ht="12.75">
      <c r="A61" s="22">
        <f t="shared" si="1"/>
        <v>43897</v>
      </c>
      <c r="B61" s="15">
        <v>20092411.4</v>
      </c>
      <c r="C61" s="15">
        <v>223561.19999999998</v>
      </c>
      <c r="D61" s="37">
        <f t="shared" si="0"/>
        <v>18429867.61</v>
      </c>
      <c r="E61" s="15">
        <v>1438982.5899999992</v>
      </c>
      <c r="F61" s="16">
        <f t="shared" si="4"/>
        <v>929</v>
      </c>
      <c r="G61" s="15">
        <f t="shared" si="2"/>
        <v>221.279807781024</v>
      </c>
    </row>
    <row r="62" spans="1:7" ht="12.75">
      <c r="A62" s="22">
        <f t="shared" si="1"/>
        <v>43904</v>
      </c>
      <c r="B62" s="15">
        <v>15939725.129999999</v>
      </c>
      <c r="C62" s="15">
        <v>110117.33000000002</v>
      </c>
      <c r="D62" s="37">
        <f t="shared" si="0"/>
        <v>14674795.670000002</v>
      </c>
      <c r="E62" s="15">
        <v>1154812.129999997</v>
      </c>
      <c r="F62" s="16">
        <f t="shared" si="4"/>
        <v>929</v>
      </c>
      <c r="G62" s="15">
        <f t="shared" si="2"/>
        <v>177.58144394894617</v>
      </c>
    </row>
    <row r="63" spans="1:7" ht="12.75">
      <c r="A63" s="22">
        <f t="shared" si="1"/>
        <v>43911</v>
      </c>
      <c r="B63" s="15">
        <v>1937173.19</v>
      </c>
      <c r="C63" s="15">
        <v>33411.49</v>
      </c>
      <c r="D63" s="37">
        <f t="shared" si="0"/>
        <v>1768006.6099999999</v>
      </c>
      <c r="E63" s="15">
        <v>135755.09</v>
      </c>
      <c r="F63" s="16">
        <f>1858/2</f>
        <v>929</v>
      </c>
      <c r="G63" s="15">
        <f>IF(ISBLANK(B63),"",E63/F63/2)</f>
        <v>73.06517222820237</v>
      </c>
    </row>
    <row r="64" ht="12.75">
      <c r="G64" s="15">
        <f>_xlfn.IFERROR((E64/F64/7),"")</f>
      </c>
    </row>
    <row r="65" spans="1:7" ht="13.5" thickBot="1">
      <c r="A65" s="22" t="s">
        <v>8</v>
      </c>
      <c r="B65" s="17">
        <f>SUM(B12:B64)</f>
        <v>865123837.99</v>
      </c>
      <c r="C65" s="17">
        <f>SUM(C12:C64)</f>
        <v>8888176.24</v>
      </c>
      <c r="D65" s="17">
        <f>SUM(D12:D64)</f>
        <v>792520911.3399999</v>
      </c>
      <c r="E65" s="17">
        <f>SUM(E12:E64)</f>
        <v>63714750.40999999</v>
      </c>
      <c r="F65" s="24">
        <f>_xlfn.IFERROR(SUM(F12:F64)/COUNT(F12:F64)," ")</f>
        <v>919.5192307692307</v>
      </c>
      <c r="G65" s="17">
        <f>_xlfn.IFERROR(E65/SUM(F12:F64)/7," ")</f>
        <v>190.3609160604114</v>
      </c>
    </row>
    <row r="66" spans="1:5" s="21" customFormat="1" ht="13.5" thickTop="1">
      <c r="A66" s="22"/>
      <c r="B66" s="20"/>
      <c r="C66" s="20"/>
      <c r="D66" s="20"/>
      <c r="E66" s="20"/>
    </row>
  </sheetData>
  <sheetProtection/>
  <mergeCells count="6">
    <mergeCell ref="A1:G1"/>
    <mergeCell ref="A2:G2"/>
    <mergeCell ref="A3:G3"/>
    <mergeCell ref="A4:G4"/>
    <mergeCell ref="A5:G5"/>
    <mergeCell ref="A7:G7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A64" sqref="A64"/>
    </sheetView>
  </sheetViews>
  <sheetFormatPr defaultColWidth="9.140625" defaultRowHeight="12.75"/>
  <cols>
    <col min="1" max="1" width="15.7109375" style="22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0" s="26" customFormat="1" ht="18">
      <c r="A1" s="42" t="s">
        <v>30</v>
      </c>
      <c r="B1" s="42"/>
      <c r="C1" s="42"/>
      <c r="D1" s="42"/>
      <c r="E1" s="42"/>
      <c r="F1" s="42"/>
      <c r="G1" s="42"/>
      <c r="H1" s="28"/>
      <c r="I1" s="28"/>
      <c r="J1" s="28"/>
    </row>
    <row r="2" spans="1:10" s="26" customFormat="1" ht="15">
      <c r="A2" s="43" t="s">
        <v>19</v>
      </c>
      <c r="B2" s="43"/>
      <c r="C2" s="43"/>
      <c r="D2" s="43"/>
      <c r="E2" s="43"/>
      <c r="F2" s="43"/>
      <c r="G2" s="43"/>
      <c r="H2" s="29"/>
      <c r="I2" s="29"/>
      <c r="J2" s="29"/>
    </row>
    <row r="3" spans="1:10" s="27" customFormat="1" ht="15">
      <c r="A3" s="43" t="s">
        <v>20</v>
      </c>
      <c r="B3" s="43"/>
      <c r="C3" s="43"/>
      <c r="D3" s="43"/>
      <c r="E3" s="43"/>
      <c r="F3" s="43"/>
      <c r="G3" s="43"/>
      <c r="H3" s="29"/>
      <c r="I3" s="29"/>
      <c r="J3" s="29"/>
    </row>
    <row r="4" spans="1:10" s="27" customFormat="1" ht="14.25">
      <c r="A4" s="44" t="s">
        <v>21</v>
      </c>
      <c r="B4" s="44"/>
      <c r="C4" s="44"/>
      <c r="D4" s="44"/>
      <c r="E4" s="44"/>
      <c r="F4" s="44"/>
      <c r="G4" s="44"/>
      <c r="H4" s="32"/>
      <c r="I4" s="30"/>
      <c r="J4" s="30"/>
    </row>
    <row r="5" spans="1:10" s="27" customFormat="1" ht="14.25">
      <c r="A5" s="45" t="s">
        <v>22</v>
      </c>
      <c r="B5" s="45"/>
      <c r="C5" s="45"/>
      <c r="D5" s="45"/>
      <c r="E5" s="45"/>
      <c r="F5" s="45"/>
      <c r="G5" s="45"/>
      <c r="H5" s="31"/>
      <c r="I5" s="31"/>
      <c r="J5" s="31"/>
    </row>
    <row r="6" spans="1:7" s="1" customFormat="1" ht="14.25">
      <c r="A6" s="33"/>
      <c r="B6" s="2"/>
      <c r="C6" s="2"/>
      <c r="D6" s="2"/>
      <c r="E6" s="2"/>
      <c r="F6" s="2"/>
      <c r="G6" s="2"/>
    </row>
    <row r="7" spans="1:7" s="7" customFormat="1" ht="14.25" customHeight="1">
      <c r="A7" s="46" t="s">
        <v>35</v>
      </c>
      <c r="B7" s="47"/>
      <c r="C7" s="47"/>
      <c r="D7" s="47"/>
      <c r="E7" s="47"/>
      <c r="F7" s="47"/>
      <c r="G7" s="48"/>
    </row>
    <row r="8" spans="1:7" s="1" customFormat="1" ht="9" customHeight="1">
      <c r="A8" s="22"/>
      <c r="B8" s="4"/>
      <c r="C8" s="4"/>
      <c r="D8" s="4"/>
      <c r="E8" s="5"/>
      <c r="F8" s="6"/>
      <c r="G8" s="5"/>
    </row>
    <row r="9" spans="1:7" s="12" customFormat="1" ht="12">
      <c r="A9" s="34"/>
      <c r="B9" s="10" t="s">
        <v>0</v>
      </c>
      <c r="C9" s="10" t="s">
        <v>26</v>
      </c>
      <c r="D9" s="10" t="s">
        <v>0</v>
      </c>
      <c r="E9" s="10"/>
      <c r="F9" s="11" t="s">
        <v>1</v>
      </c>
      <c r="G9" s="10" t="s">
        <v>2</v>
      </c>
    </row>
    <row r="10" spans="1:7" s="12" customFormat="1" ht="12">
      <c r="A10" s="35" t="s">
        <v>11</v>
      </c>
      <c r="B10" s="8" t="s">
        <v>3</v>
      </c>
      <c r="C10" s="8" t="s">
        <v>28</v>
      </c>
      <c r="D10" s="8" t="s">
        <v>4</v>
      </c>
      <c r="E10" s="8" t="s">
        <v>5</v>
      </c>
      <c r="F10" s="14" t="s">
        <v>6</v>
      </c>
      <c r="G10" s="8" t="s">
        <v>7</v>
      </c>
    </row>
    <row r="12" spans="1:7" ht="12.75">
      <c r="A12" s="22">
        <v>43190</v>
      </c>
      <c r="B12" s="15">
        <v>16781522</v>
      </c>
      <c r="C12" s="15">
        <v>129602</v>
      </c>
      <c r="D12" s="37">
        <f aca="true" t="shared" si="0" ref="D12:D63">IF(ISBLANK(B12),"",B12-C12-E12)</f>
        <v>15368840</v>
      </c>
      <c r="E12" s="15">
        <v>1283080</v>
      </c>
      <c r="F12" s="16">
        <v>898</v>
      </c>
      <c r="G12" s="15">
        <v>204</v>
      </c>
    </row>
    <row r="13" spans="1:7" ht="12.75">
      <c r="A13" s="22">
        <f aca="true" t="shared" si="1" ref="A13:A44">+A12+7</f>
        <v>43197</v>
      </c>
      <c r="B13" s="15">
        <v>17517565</v>
      </c>
      <c r="C13" s="15">
        <f>208129-16970</f>
        <v>191159</v>
      </c>
      <c r="D13" s="37">
        <f t="shared" si="0"/>
        <v>16117325</v>
      </c>
      <c r="E13" s="15">
        <v>1209081</v>
      </c>
      <c r="F13" s="16">
        <f aca="true" t="shared" si="2" ref="F13:F18">6286/7</f>
        <v>898</v>
      </c>
      <c r="G13" s="15">
        <f>_xlfn.IFERROR((E13/F13/7),"")</f>
        <v>192.34505249761375</v>
      </c>
    </row>
    <row r="14" spans="1:7" ht="12.75">
      <c r="A14" s="22">
        <f t="shared" si="1"/>
        <v>43204</v>
      </c>
      <c r="B14" s="15">
        <v>15389860</v>
      </c>
      <c r="C14" s="15">
        <v>151339</v>
      </c>
      <c r="D14" s="37">
        <f t="shared" si="0"/>
        <v>14097265</v>
      </c>
      <c r="E14" s="15">
        <v>1141256</v>
      </c>
      <c r="F14" s="16">
        <f t="shared" si="2"/>
        <v>898</v>
      </c>
      <c r="G14" s="15">
        <f aca="true" t="shared" si="3" ref="G14:G37">_xlfn.IFERROR((E14/F14/7),"")</f>
        <v>181.55520203627108</v>
      </c>
    </row>
    <row r="15" spans="1:7" ht="12.75">
      <c r="A15" s="22">
        <f t="shared" si="1"/>
        <v>43211</v>
      </c>
      <c r="B15" s="15">
        <v>17618051</v>
      </c>
      <c r="C15" s="15">
        <v>229592</v>
      </c>
      <c r="D15" s="37">
        <f t="shared" si="0"/>
        <v>16252827</v>
      </c>
      <c r="E15" s="15">
        <v>1135632</v>
      </c>
      <c r="F15" s="16">
        <f t="shared" si="2"/>
        <v>898</v>
      </c>
      <c r="G15" s="15">
        <f t="shared" si="3"/>
        <v>180.66051543111675</v>
      </c>
    </row>
    <row r="16" spans="1:7" ht="12.75">
      <c r="A16" s="22">
        <f t="shared" si="1"/>
        <v>43218</v>
      </c>
      <c r="B16" s="15">
        <v>16544512</v>
      </c>
      <c r="C16" s="15">
        <v>170764</v>
      </c>
      <c r="D16" s="37">
        <f t="shared" si="0"/>
        <v>15119284</v>
      </c>
      <c r="E16" s="15">
        <v>1254464</v>
      </c>
      <c r="F16" s="16">
        <f t="shared" si="2"/>
        <v>898</v>
      </c>
      <c r="G16" s="15">
        <f t="shared" si="3"/>
        <v>199.56474705695197</v>
      </c>
    </row>
    <row r="17" spans="1:7" ht="12.75">
      <c r="A17" s="22">
        <f t="shared" si="1"/>
        <v>43225</v>
      </c>
      <c r="B17" s="15">
        <v>16574868</v>
      </c>
      <c r="C17" s="15">
        <v>149605</v>
      </c>
      <c r="D17" s="37">
        <f t="shared" si="0"/>
        <v>15249641</v>
      </c>
      <c r="E17" s="15">
        <v>1175622</v>
      </c>
      <c r="F17" s="16">
        <f t="shared" si="2"/>
        <v>898</v>
      </c>
      <c r="G17" s="15">
        <f t="shared" si="3"/>
        <v>187.02227171492206</v>
      </c>
    </row>
    <row r="18" spans="1:7" ht="12.75">
      <c r="A18" s="22">
        <f t="shared" si="1"/>
        <v>43232</v>
      </c>
      <c r="B18" s="15">
        <v>17158758</v>
      </c>
      <c r="C18" s="15">
        <f>142283-24038</f>
        <v>118245</v>
      </c>
      <c r="D18" s="37">
        <f t="shared" si="0"/>
        <v>15731163</v>
      </c>
      <c r="E18" s="15">
        <v>1309350</v>
      </c>
      <c r="F18" s="16">
        <f t="shared" si="2"/>
        <v>898</v>
      </c>
      <c r="G18" s="15">
        <f t="shared" si="3"/>
        <v>208.29621380846325</v>
      </c>
    </row>
    <row r="19" spans="1:7" ht="12.75">
      <c r="A19" s="22">
        <f t="shared" si="1"/>
        <v>43239</v>
      </c>
      <c r="B19" s="15">
        <v>15376821</v>
      </c>
      <c r="C19" s="15">
        <v>161726</v>
      </c>
      <c r="D19" s="37">
        <f t="shared" si="0"/>
        <v>14126227</v>
      </c>
      <c r="E19" s="15">
        <v>1088868</v>
      </c>
      <c r="F19" s="16">
        <f aca="true" t="shared" si="4" ref="F19:F24">6286/7</f>
        <v>898</v>
      </c>
      <c r="G19" s="15">
        <f t="shared" si="3"/>
        <v>173.22112631244036</v>
      </c>
    </row>
    <row r="20" spans="1:7" ht="12.75">
      <c r="A20" s="22">
        <f t="shared" si="1"/>
        <v>43246</v>
      </c>
      <c r="B20" s="15">
        <v>14996368</v>
      </c>
      <c r="C20" s="15">
        <v>165895</v>
      </c>
      <c r="D20" s="37">
        <f t="shared" si="0"/>
        <v>13763972</v>
      </c>
      <c r="E20" s="15">
        <v>1066501</v>
      </c>
      <c r="F20" s="16">
        <f t="shared" si="4"/>
        <v>898</v>
      </c>
      <c r="G20" s="15">
        <f t="shared" si="3"/>
        <v>169.66290168628697</v>
      </c>
    </row>
    <row r="21" spans="1:7" ht="12.75">
      <c r="A21" s="22">
        <f t="shared" si="1"/>
        <v>43253</v>
      </c>
      <c r="B21" s="15">
        <v>16775893</v>
      </c>
      <c r="C21" s="15">
        <v>184102</v>
      </c>
      <c r="D21" s="37">
        <f t="shared" si="0"/>
        <v>15367024</v>
      </c>
      <c r="E21" s="15">
        <v>1224767</v>
      </c>
      <c r="F21" s="16">
        <f t="shared" si="4"/>
        <v>898</v>
      </c>
      <c r="G21" s="15">
        <f t="shared" si="3"/>
        <v>194.84043907095133</v>
      </c>
    </row>
    <row r="22" spans="1:7" ht="12.75">
      <c r="A22" s="22">
        <f t="shared" si="1"/>
        <v>43260</v>
      </c>
      <c r="B22" s="15">
        <v>16103327</v>
      </c>
      <c r="C22" s="15">
        <f>171135-119972</f>
        <v>51163</v>
      </c>
      <c r="D22" s="37">
        <f t="shared" si="0"/>
        <v>14760969</v>
      </c>
      <c r="E22" s="15">
        <v>1291195</v>
      </c>
      <c r="F22" s="16">
        <f t="shared" si="4"/>
        <v>898</v>
      </c>
      <c r="G22" s="15">
        <v>205</v>
      </c>
    </row>
    <row r="23" spans="1:7" ht="12.75">
      <c r="A23" s="22">
        <f t="shared" si="1"/>
        <v>43267</v>
      </c>
      <c r="B23" s="15">
        <v>16651203</v>
      </c>
      <c r="C23" s="15">
        <v>204928</v>
      </c>
      <c r="D23" s="37">
        <f t="shared" si="0"/>
        <v>15279529</v>
      </c>
      <c r="E23" s="15">
        <v>1166746</v>
      </c>
      <c r="F23" s="16">
        <f t="shared" si="4"/>
        <v>898</v>
      </c>
      <c r="G23" s="15">
        <f t="shared" si="3"/>
        <v>185.61024498886414</v>
      </c>
    </row>
    <row r="24" spans="1:7" ht="12.75">
      <c r="A24" s="22">
        <f t="shared" si="1"/>
        <v>43274</v>
      </c>
      <c r="B24" s="15">
        <v>16868930</v>
      </c>
      <c r="C24" s="15">
        <f>215954-37620</f>
        <v>178334</v>
      </c>
      <c r="D24" s="37">
        <f t="shared" si="0"/>
        <v>15482722</v>
      </c>
      <c r="E24" s="15">
        <v>1207874</v>
      </c>
      <c r="F24" s="16">
        <f t="shared" si="4"/>
        <v>898</v>
      </c>
      <c r="G24" s="15">
        <f t="shared" si="3"/>
        <v>192.15303849825008</v>
      </c>
    </row>
    <row r="25" spans="1:7" ht="12.75">
      <c r="A25" s="22">
        <f t="shared" si="1"/>
        <v>43281</v>
      </c>
      <c r="B25" s="15">
        <v>16516321</v>
      </c>
      <c r="C25" s="15">
        <v>171496</v>
      </c>
      <c r="D25" s="37">
        <f t="shared" si="0"/>
        <v>15164125</v>
      </c>
      <c r="E25" s="15">
        <v>1180700</v>
      </c>
      <c r="F25" s="16">
        <f aca="true" t="shared" si="5" ref="F25:F30">6286/7</f>
        <v>898</v>
      </c>
      <c r="G25" s="15">
        <f t="shared" si="3"/>
        <v>187.8300986318804</v>
      </c>
    </row>
    <row r="26" spans="1:7" ht="12.75">
      <c r="A26" s="22">
        <f t="shared" si="1"/>
        <v>43288</v>
      </c>
      <c r="B26" s="15">
        <v>17424325</v>
      </c>
      <c r="C26" s="15">
        <v>248356</v>
      </c>
      <c r="D26" s="37">
        <f t="shared" si="0"/>
        <v>15921892</v>
      </c>
      <c r="E26" s="15">
        <v>1254077</v>
      </c>
      <c r="F26" s="16">
        <f t="shared" si="5"/>
        <v>898</v>
      </c>
      <c r="G26" s="15">
        <f t="shared" si="3"/>
        <v>199.50318167356028</v>
      </c>
    </row>
    <row r="27" spans="1:7" ht="12.75">
      <c r="A27" s="22">
        <f t="shared" si="1"/>
        <v>43295</v>
      </c>
      <c r="B27" s="15">
        <v>17720159</v>
      </c>
      <c r="C27" s="15">
        <v>349436</v>
      </c>
      <c r="D27" s="37">
        <f t="shared" si="0"/>
        <v>16157655</v>
      </c>
      <c r="E27" s="15">
        <v>1213068</v>
      </c>
      <c r="F27" s="16">
        <f t="shared" si="5"/>
        <v>898</v>
      </c>
      <c r="G27" s="15">
        <f t="shared" si="3"/>
        <v>192.97931912185808</v>
      </c>
    </row>
    <row r="28" spans="1:7" ht="12.75">
      <c r="A28" s="22">
        <f t="shared" si="1"/>
        <v>43302</v>
      </c>
      <c r="B28" s="15">
        <v>16775379</v>
      </c>
      <c r="C28" s="15">
        <v>165387</v>
      </c>
      <c r="D28" s="37">
        <f t="shared" si="0"/>
        <v>15330751</v>
      </c>
      <c r="E28" s="15">
        <v>1279241</v>
      </c>
      <c r="F28" s="16">
        <f t="shared" si="5"/>
        <v>898</v>
      </c>
      <c r="G28" s="15">
        <f t="shared" si="3"/>
        <v>203.50636334712058</v>
      </c>
    </row>
    <row r="29" spans="1:7" ht="12.75">
      <c r="A29" s="22">
        <f t="shared" si="1"/>
        <v>43309</v>
      </c>
      <c r="B29" s="15">
        <v>15877593</v>
      </c>
      <c r="C29" s="15">
        <f>233956-38445</f>
        <v>195511</v>
      </c>
      <c r="D29" s="37">
        <f t="shared" si="0"/>
        <v>14593836</v>
      </c>
      <c r="E29" s="15">
        <v>1088246</v>
      </c>
      <c r="F29" s="16">
        <f t="shared" si="5"/>
        <v>898</v>
      </c>
      <c r="G29" s="15">
        <f t="shared" si="3"/>
        <v>173.12217626471525</v>
      </c>
    </row>
    <row r="30" spans="1:7" ht="12.75">
      <c r="A30" s="22">
        <f t="shared" si="1"/>
        <v>43316</v>
      </c>
      <c r="B30" s="15">
        <v>17392556</v>
      </c>
      <c r="C30" s="15">
        <v>221482</v>
      </c>
      <c r="D30" s="37">
        <f t="shared" si="0"/>
        <v>15932971</v>
      </c>
      <c r="E30" s="15">
        <v>1238103</v>
      </c>
      <c r="F30" s="16">
        <f t="shared" si="5"/>
        <v>898</v>
      </c>
      <c r="G30" s="15">
        <f t="shared" si="3"/>
        <v>196.9619790009545</v>
      </c>
    </row>
    <row r="31" spans="1:7" ht="12.75">
      <c r="A31" s="22">
        <f t="shared" si="1"/>
        <v>43323</v>
      </c>
      <c r="B31" s="15">
        <v>13227484</v>
      </c>
      <c r="C31" s="15">
        <v>194321</v>
      </c>
      <c r="D31" s="37">
        <f t="shared" si="0"/>
        <v>12060671</v>
      </c>
      <c r="E31" s="15">
        <v>972492</v>
      </c>
      <c r="F31" s="16">
        <f aca="true" t="shared" si="6" ref="F31:F36">6286/7</f>
        <v>898</v>
      </c>
      <c r="G31" s="15">
        <f t="shared" si="3"/>
        <v>154.7076041998091</v>
      </c>
    </row>
    <row r="32" spans="1:7" ht="12.75">
      <c r="A32" s="22">
        <f t="shared" si="1"/>
        <v>43330</v>
      </c>
      <c r="B32" s="15">
        <v>11298682</v>
      </c>
      <c r="C32" s="15">
        <v>231173</v>
      </c>
      <c r="D32" s="37">
        <f t="shared" si="0"/>
        <v>10348107</v>
      </c>
      <c r="E32" s="15">
        <v>719402</v>
      </c>
      <c r="F32" s="16">
        <f t="shared" si="6"/>
        <v>898</v>
      </c>
      <c r="G32" s="15">
        <f t="shared" si="3"/>
        <v>114.44511613108496</v>
      </c>
    </row>
    <row r="33" spans="1:7" ht="12.75">
      <c r="A33" s="22">
        <f t="shared" si="1"/>
        <v>43337</v>
      </c>
      <c r="B33" s="15">
        <v>15809843</v>
      </c>
      <c r="C33" s="15">
        <v>217204</v>
      </c>
      <c r="D33" s="37">
        <f t="shared" si="0"/>
        <v>14458208</v>
      </c>
      <c r="E33" s="15">
        <v>1134431</v>
      </c>
      <c r="F33" s="16">
        <f t="shared" si="6"/>
        <v>898</v>
      </c>
      <c r="G33" s="15">
        <f t="shared" si="3"/>
        <v>180.46945593382117</v>
      </c>
    </row>
    <row r="34" spans="1:7" ht="12.75">
      <c r="A34" s="22">
        <f t="shared" si="1"/>
        <v>43344</v>
      </c>
      <c r="B34" s="15">
        <v>16306796</v>
      </c>
      <c r="C34" s="15">
        <v>241767</v>
      </c>
      <c r="D34" s="37">
        <f t="shared" si="0"/>
        <v>14899575</v>
      </c>
      <c r="E34" s="15">
        <v>1165454</v>
      </c>
      <c r="F34" s="16">
        <f t="shared" si="6"/>
        <v>898</v>
      </c>
      <c r="G34" s="15">
        <f t="shared" si="3"/>
        <v>185.40470887686925</v>
      </c>
    </row>
    <row r="35" spans="1:7" ht="12.75">
      <c r="A35" s="22">
        <f t="shared" si="1"/>
        <v>43351</v>
      </c>
      <c r="B35" s="15">
        <v>17793113</v>
      </c>
      <c r="C35" s="15">
        <f>283678-86380</f>
        <v>197298</v>
      </c>
      <c r="D35" s="37">
        <f t="shared" si="0"/>
        <v>16313190</v>
      </c>
      <c r="E35" s="15">
        <v>1282625</v>
      </c>
      <c r="F35" s="16">
        <f t="shared" si="6"/>
        <v>898</v>
      </c>
      <c r="G35" s="15">
        <f t="shared" si="3"/>
        <v>204.04470251352214</v>
      </c>
    </row>
    <row r="36" spans="1:7" ht="12.75">
      <c r="A36" s="22">
        <f t="shared" si="1"/>
        <v>43358</v>
      </c>
      <c r="B36" s="15">
        <v>15757874</v>
      </c>
      <c r="C36" s="15">
        <v>254386</v>
      </c>
      <c r="D36" s="37">
        <f t="shared" si="0"/>
        <v>14453850</v>
      </c>
      <c r="E36" s="15">
        <v>1049638</v>
      </c>
      <c r="F36" s="16">
        <f t="shared" si="6"/>
        <v>898</v>
      </c>
      <c r="G36" s="15">
        <f t="shared" si="3"/>
        <v>166.9802736239262</v>
      </c>
    </row>
    <row r="37" spans="1:7" ht="12.75">
      <c r="A37" s="22">
        <f t="shared" si="1"/>
        <v>43365</v>
      </c>
      <c r="B37" s="15">
        <v>14768617</v>
      </c>
      <c r="C37" s="15">
        <v>255880</v>
      </c>
      <c r="D37" s="37">
        <f t="shared" si="0"/>
        <v>13532615</v>
      </c>
      <c r="E37" s="15">
        <v>980122</v>
      </c>
      <c r="F37" s="16">
        <f aca="true" t="shared" si="7" ref="F37:F42">6286/7</f>
        <v>898</v>
      </c>
      <c r="G37" s="15">
        <f t="shared" si="3"/>
        <v>155.92141266306075</v>
      </c>
    </row>
    <row r="38" spans="1:7" ht="12.75">
      <c r="A38" s="22">
        <f t="shared" si="1"/>
        <v>43372</v>
      </c>
      <c r="B38" s="15">
        <v>16021769.41</v>
      </c>
      <c r="C38" s="15">
        <v>273481.11</v>
      </c>
      <c r="D38" s="37">
        <f t="shared" si="0"/>
        <v>14723948.91</v>
      </c>
      <c r="E38" s="15">
        <v>1024339.3899999999</v>
      </c>
      <c r="F38" s="16">
        <f t="shared" si="7"/>
        <v>898</v>
      </c>
      <c r="G38" s="15">
        <f aca="true" t="shared" si="8" ref="G38:G64">_xlfn.IFERROR((E38/F38/7),"")</f>
        <v>162.9556776964683</v>
      </c>
    </row>
    <row r="39" spans="1:7" ht="12.75">
      <c r="A39" s="22">
        <f t="shared" si="1"/>
        <v>43379</v>
      </c>
      <c r="B39" s="15">
        <v>15595349</v>
      </c>
      <c r="C39" s="15">
        <v>167369</v>
      </c>
      <c r="D39" s="37">
        <f t="shared" si="0"/>
        <v>14300538</v>
      </c>
      <c r="E39" s="15">
        <v>1127442</v>
      </c>
      <c r="F39" s="16">
        <f t="shared" si="7"/>
        <v>898</v>
      </c>
      <c r="G39" s="15">
        <f t="shared" si="8"/>
        <v>179.3576201081769</v>
      </c>
    </row>
    <row r="40" spans="1:7" ht="12.75">
      <c r="A40" s="22">
        <f t="shared" si="1"/>
        <v>43386</v>
      </c>
      <c r="B40" s="15">
        <v>15486661</v>
      </c>
      <c r="C40" s="15">
        <f>205556-149385</f>
        <v>56171</v>
      </c>
      <c r="D40" s="37">
        <f t="shared" si="0"/>
        <v>14199507</v>
      </c>
      <c r="E40" s="15">
        <v>1230983</v>
      </c>
      <c r="F40" s="16">
        <f t="shared" si="7"/>
        <v>898</v>
      </c>
      <c r="G40" s="15">
        <f t="shared" si="8"/>
        <v>195.82930321349028</v>
      </c>
    </row>
    <row r="41" spans="1:7" ht="12.75">
      <c r="A41" s="22">
        <f t="shared" si="1"/>
        <v>43393</v>
      </c>
      <c r="B41" s="15">
        <v>15082302</v>
      </c>
      <c r="C41" s="15">
        <v>155091</v>
      </c>
      <c r="D41" s="37">
        <f t="shared" si="0"/>
        <v>13900981</v>
      </c>
      <c r="E41" s="15">
        <v>1026230</v>
      </c>
      <c r="F41" s="16">
        <f t="shared" si="7"/>
        <v>898</v>
      </c>
      <c r="G41" s="15">
        <f t="shared" si="8"/>
        <v>163.25644288895958</v>
      </c>
    </row>
    <row r="42" spans="1:7" ht="12.75">
      <c r="A42" s="22">
        <f t="shared" si="1"/>
        <v>43400</v>
      </c>
      <c r="B42" s="15">
        <v>13789399</v>
      </c>
      <c r="C42" s="15">
        <v>143161</v>
      </c>
      <c r="D42" s="37">
        <f t="shared" si="0"/>
        <v>12668031</v>
      </c>
      <c r="E42" s="15">
        <v>978207</v>
      </c>
      <c r="F42" s="16">
        <f t="shared" si="7"/>
        <v>898</v>
      </c>
      <c r="G42" s="15">
        <f t="shared" si="8"/>
        <v>155.61676741966272</v>
      </c>
    </row>
    <row r="43" spans="1:7" ht="12.75">
      <c r="A43" s="22">
        <f t="shared" si="1"/>
        <v>43407</v>
      </c>
      <c r="B43" s="15">
        <v>15532285</v>
      </c>
      <c r="C43" s="15">
        <v>154558</v>
      </c>
      <c r="D43" s="37">
        <f t="shared" si="0"/>
        <v>14232325</v>
      </c>
      <c r="E43" s="15">
        <v>1145402</v>
      </c>
      <c r="F43" s="16">
        <f aca="true" t="shared" si="9" ref="F43:F48">6286/7</f>
        <v>898</v>
      </c>
      <c r="G43" s="15">
        <f t="shared" si="8"/>
        <v>182.21476296531975</v>
      </c>
    </row>
    <row r="44" spans="1:7" ht="12.75">
      <c r="A44" s="22">
        <f t="shared" si="1"/>
        <v>43414</v>
      </c>
      <c r="B44" s="15">
        <v>13522574</v>
      </c>
      <c r="C44" s="15">
        <f>142755-229510</f>
        <v>-86755</v>
      </c>
      <c r="D44" s="37">
        <f t="shared" si="0"/>
        <v>12388050</v>
      </c>
      <c r="E44" s="15">
        <v>1221279</v>
      </c>
      <c r="F44" s="16">
        <f t="shared" si="9"/>
        <v>898</v>
      </c>
      <c r="G44" s="15">
        <f t="shared" si="8"/>
        <v>194.28555520203628</v>
      </c>
    </row>
    <row r="45" spans="1:7" ht="12.75">
      <c r="A45" s="22">
        <f aca="true" t="shared" si="10" ref="A45:A63">+A44+7</f>
        <v>43421</v>
      </c>
      <c r="B45" s="15">
        <v>13501966</v>
      </c>
      <c r="C45" s="15">
        <v>149632</v>
      </c>
      <c r="D45" s="37">
        <f t="shared" si="0"/>
        <v>12381470</v>
      </c>
      <c r="E45" s="15">
        <v>970864</v>
      </c>
      <c r="F45" s="16">
        <f t="shared" si="9"/>
        <v>898</v>
      </c>
      <c r="G45" s="15">
        <f t="shared" si="8"/>
        <v>154.44861597200128</v>
      </c>
    </row>
    <row r="46" spans="1:7" ht="12.75">
      <c r="A46" s="22">
        <f t="shared" si="10"/>
        <v>43428</v>
      </c>
      <c r="B46" s="15">
        <v>14378701</v>
      </c>
      <c r="C46" s="15">
        <v>164720</v>
      </c>
      <c r="D46" s="37">
        <f t="shared" si="0"/>
        <v>13213404</v>
      </c>
      <c r="E46" s="15">
        <v>1000577</v>
      </c>
      <c r="F46" s="16">
        <f t="shared" si="9"/>
        <v>898</v>
      </c>
      <c r="G46" s="15">
        <f t="shared" si="8"/>
        <v>159.17546929685017</v>
      </c>
    </row>
    <row r="47" spans="1:7" ht="12.75">
      <c r="A47" s="22">
        <f t="shared" si="10"/>
        <v>43435</v>
      </c>
      <c r="B47" s="15">
        <v>14104957</v>
      </c>
      <c r="C47" s="15">
        <v>177654</v>
      </c>
      <c r="D47" s="37">
        <f t="shared" si="0"/>
        <v>12944523</v>
      </c>
      <c r="E47" s="15">
        <v>982780</v>
      </c>
      <c r="F47" s="16">
        <f t="shared" si="9"/>
        <v>898</v>
      </c>
      <c r="G47" s="15">
        <f t="shared" si="8"/>
        <v>156.3442570792237</v>
      </c>
    </row>
    <row r="48" spans="1:7" ht="12.75">
      <c r="A48" s="22">
        <f t="shared" si="10"/>
        <v>43442</v>
      </c>
      <c r="B48" s="15">
        <v>12514966.61</v>
      </c>
      <c r="C48" s="15">
        <v>116994.88999999998</v>
      </c>
      <c r="D48" s="37">
        <f t="shared" si="0"/>
        <v>11376207.739999998</v>
      </c>
      <c r="E48" s="15">
        <v>1021763.98</v>
      </c>
      <c r="F48" s="16">
        <f t="shared" si="9"/>
        <v>898</v>
      </c>
      <c r="G48" s="15">
        <f t="shared" si="8"/>
        <v>162.54597200127267</v>
      </c>
    </row>
    <row r="49" spans="1:7" ht="12.75">
      <c r="A49" s="22">
        <f t="shared" si="10"/>
        <v>43449</v>
      </c>
      <c r="B49" s="15">
        <v>14765985</v>
      </c>
      <c r="C49" s="15">
        <f>149027-91635</f>
        <v>57392</v>
      </c>
      <c r="D49" s="37">
        <f t="shared" si="0"/>
        <v>13570677</v>
      </c>
      <c r="E49" s="15">
        <v>1137916</v>
      </c>
      <c r="F49" s="16">
        <f aca="true" t="shared" si="11" ref="F49:F54">6286/7</f>
        <v>898</v>
      </c>
      <c r="G49" s="15">
        <f t="shared" si="8"/>
        <v>181.0238625517022</v>
      </c>
    </row>
    <row r="50" spans="1:7" ht="12.75">
      <c r="A50" s="22">
        <f t="shared" si="10"/>
        <v>43456</v>
      </c>
      <c r="B50" s="15">
        <v>14413462</v>
      </c>
      <c r="C50" s="15">
        <v>128205</v>
      </c>
      <c r="D50" s="37">
        <f t="shared" si="0"/>
        <v>13247429</v>
      </c>
      <c r="E50" s="15">
        <v>1037828</v>
      </c>
      <c r="F50" s="16">
        <f t="shared" si="11"/>
        <v>898</v>
      </c>
      <c r="G50" s="15">
        <f t="shared" si="8"/>
        <v>165.10149538657333</v>
      </c>
    </row>
    <row r="51" spans="1:7" ht="12.75">
      <c r="A51" s="22">
        <f t="shared" si="10"/>
        <v>43463</v>
      </c>
      <c r="B51" s="15">
        <v>16717180</v>
      </c>
      <c r="C51" s="15">
        <v>166695</v>
      </c>
      <c r="D51" s="37">
        <f t="shared" si="0"/>
        <v>15314786</v>
      </c>
      <c r="E51" s="15">
        <v>1235699</v>
      </c>
      <c r="F51" s="16">
        <f t="shared" si="11"/>
        <v>898</v>
      </c>
      <c r="G51" s="15">
        <f t="shared" si="8"/>
        <v>196.57954183900733</v>
      </c>
    </row>
    <row r="52" spans="1:7" ht="12.75">
      <c r="A52" s="22">
        <f t="shared" si="10"/>
        <v>43470</v>
      </c>
      <c r="B52" s="15">
        <v>20103118</v>
      </c>
      <c r="C52" s="15">
        <v>207078</v>
      </c>
      <c r="D52" s="37">
        <f t="shared" si="0"/>
        <v>18413446</v>
      </c>
      <c r="E52" s="15">
        <v>1482594</v>
      </c>
      <c r="F52" s="16">
        <f t="shared" si="11"/>
        <v>898</v>
      </c>
      <c r="G52" s="15">
        <f t="shared" si="8"/>
        <v>235.8565065224308</v>
      </c>
    </row>
    <row r="53" spans="1:7" ht="12.75">
      <c r="A53" s="22">
        <f t="shared" si="10"/>
        <v>43477</v>
      </c>
      <c r="B53" s="15">
        <v>13177285</v>
      </c>
      <c r="C53" s="15">
        <f>130619-93160</f>
        <v>37459</v>
      </c>
      <c r="D53" s="37">
        <f t="shared" si="0"/>
        <v>12048109</v>
      </c>
      <c r="E53" s="15">
        <v>1091717</v>
      </c>
      <c r="F53" s="16">
        <f t="shared" si="11"/>
        <v>898</v>
      </c>
      <c r="G53" s="15">
        <f t="shared" si="8"/>
        <v>173.67435571110403</v>
      </c>
    </row>
    <row r="54" spans="1:7" ht="12.75">
      <c r="A54" s="22">
        <f t="shared" si="10"/>
        <v>43484</v>
      </c>
      <c r="B54" s="15">
        <v>12687478</v>
      </c>
      <c r="C54" s="15">
        <v>135312</v>
      </c>
      <c r="D54" s="37">
        <f t="shared" si="0"/>
        <v>11603711</v>
      </c>
      <c r="E54" s="15">
        <v>948455</v>
      </c>
      <c r="F54" s="16">
        <f t="shared" si="11"/>
        <v>898</v>
      </c>
      <c r="G54" s="15">
        <f t="shared" si="8"/>
        <v>150.8837098313713</v>
      </c>
    </row>
    <row r="55" spans="1:7" ht="12.75">
      <c r="A55" s="22">
        <f t="shared" si="10"/>
        <v>43491</v>
      </c>
      <c r="B55" s="15">
        <v>12945606</v>
      </c>
      <c r="C55" s="15">
        <v>205750</v>
      </c>
      <c r="D55" s="37">
        <f t="shared" si="0"/>
        <v>11792865</v>
      </c>
      <c r="E55" s="15">
        <v>946991</v>
      </c>
      <c r="F55" s="16">
        <f>6286/7</f>
        <v>898</v>
      </c>
      <c r="G55" s="15">
        <f t="shared" si="8"/>
        <v>150.65081132675786</v>
      </c>
    </row>
    <row r="56" spans="1:7" ht="12.75">
      <c r="A56" s="22">
        <f t="shared" si="10"/>
        <v>43498</v>
      </c>
      <c r="B56" s="15">
        <v>11682368</v>
      </c>
      <c r="C56" s="15">
        <v>117732</v>
      </c>
      <c r="D56" s="37">
        <f t="shared" si="0"/>
        <v>10667135</v>
      </c>
      <c r="E56" s="15">
        <v>897501</v>
      </c>
      <c r="F56" s="16">
        <f>6286/7</f>
        <v>898</v>
      </c>
      <c r="G56" s="15">
        <f t="shared" si="8"/>
        <v>142.77776010181356</v>
      </c>
    </row>
    <row r="57" spans="1:7" ht="12.75">
      <c r="A57" s="22">
        <f t="shared" si="10"/>
        <v>43505</v>
      </c>
      <c r="B57" s="15">
        <v>15607233</v>
      </c>
      <c r="C57" s="15">
        <v>169862</v>
      </c>
      <c r="D57" s="37">
        <f t="shared" si="0"/>
        <v>14341423</v>
      </c>
      <c r="E57" s="15">
        <v>1095948</v>
      </c>
      <c r="F57" s="16">
        <v>898</v>
      </c>
      <c r="G57" s="15">
        <f t="shared" si="8"/>
        <v>174.34743875278397</v>
      </c>
    </row>
    <row r="58" spans="1:7" ht="12.75">
      <c r="A58" s="22">
        <f t="shared" si="10"/>
        <v>43512</v>
      </c>
      <c r="B58" s="15">
        <v>16022927</v>
      </c>
      <c r="C58" s="15">
        <f>190766-76400</f>
        <v>114366</v>
      </c>
      <c r="D58" s="37">
        <f t="shared" si="0"/>
        <v>14657157</v>
      </c>
      <c r="E58" s="15">
        <v>1251404</v>
      </c>
      <c r="F58" s="16">
        <f aca="true" t="shared" si="12" ref="F58:F63">6286/7</f>
        <v>898</v>
      </c>
      <c r="G58" s="15">
        <f t="shared" si="8"/>
        <v>199.07795100222717</v>
      </c>
    </row>
    <row r="59" spans="1:7" ht="12.75">
      <c r="A59" s="22">
        <f t="shared" si="10"/>
        <v>43519</v>
      </c>
      <c r="B59" s="15">
        <v>17853684</v>
      </c>
      <c r="C59" s="15">
        <v>175017</v>
      </c>
      <c r="D59" s="37">
        <f t="shared" si="0"/>
        <v>16281791</v>
      </c>
      <c r="E59" s="15">
        <v>1396876</v>
      </c>
      <c r="F59" s="16">
        <f t="shared" si="12"/>
        <v>898</v>
      </c>
      <c r="G59" s="15">
        <f t="shared" si="8"/>
        <v>222.22017181037225</v>
      </c>
    </row>
    <row r="60" spans="1:7" ht="12.75">
      <c r="A60" s="22">
        <f t="shared" si="10"/>
        <v>43526</v>
      </c>
      <c r="B60" s="15">
        <v>15863740</v>
      </c>
      <c r="C60" s="15">
        <v>198658</v>
      </c>
      <c r="D60" s="37">
        <f t="shared" si="0"/>
        <v>14465987</v>
      </c>
      <c r="E60" s="15">
        <v>1199095</v>
      </c>
      <c r="F60" s="16">
        <f t="shared" si="12"/>
        <v>898</v>
      </c>
      <c r="G60" s="15">
        <f t="shared" si="8"/>
        <v>190.75644288895958</v>
      </c>
    </row>
    <row r="61" spans="1:7" ht="12.75">
      <c r="A61" s="22">
        <f t="shared" si="10"/>
        <v>43533</v>
      </c>
      <c r="B61" s="15">
        <v>17373916</v>
      </c>
      <c r="C61" s="15">
        <v>190583</v>
      </c>
      <c r="D61" s="37">
        <f t="shared" si="0"/>
        <v>15966723</v>
      </c>
      <c r="E61" s="15">
        <v>1216610</v>
      </c>
      <c r="F61" s="16">
        <f t="shared" si="12"/>
        <v>898</v>
      </c>
      <c r="G61" s="15">
        <f t="shared" si="8"/>
        <v>193.54279350938594</v>
      </c>
    </row>
    <row r="62" spans="1:7" ht="12.75">
      <c r="A62" s="22">
        <f t="shared" si="10"/>
        <v>43540</v>
      </c>
      <c r="B62" s="15">
        <v>17116592</v>
      </c>
      <c r="C62" s="15">
        <f>192220-77144</f>
        <v>115076</v>
      </c>
      <c r="D62" s="37">
        <f t="shared" si="0"/>
        <v>15638769</v>
      </c>
      <c r="E62" s="15">
        <v>1362747</v>
      </c>
      <c r="F62" s="16">
        <f t="shared" si="12"/>
        <v>898</v>
      </c>
      <c r="G62" s="15">
        <f t="shared" si="8"/>
        <v>216.79080496341075</v>
      </c>
    </row>
    <row r="63" spans="1:7" ht="12.75">
      <c r="A63" s="22">
        <f t="shared" si="10"/>
        <v>43547</v>
      </c>
      <c r="B63" s="15">
        <v>17558567</v>
      </c>
      <c r="C63" s="15">
        <v>200166</v>
      </c>
      <c r="D63" s="37">
        <f t="shared" si="0"/>
        <v>16135919</v>
      </c>
      <c r="E63" s="15">
        <v>1222482</v>
      </c>
      <c r="F63" s="16">
        <f t="shared" si="12"/>
        <v>898</v>
      </c>
      <c r="G63" s="15">
        <f t="shared" si="8"/>
        <v>194.47693286668786</v>
      </c>
    </row>
    <row r="64" ht="12.75">
      <c r="G64" s="15">
        <f t="shared" si="8"/>
      </c>
    </row>
    <row r="65" spans="1:7" ht="13.5" thickBot="1">
      <c r="A65" s="22" t="s">
        <v>8</v>
      </c>
      <c r="B65" s="17">
        <f>SUM(B12:B64)</f>
        <v>814446491.0200001</v>
      </c>
      <c r="C65" s="17">
        <f>SUM(C12:C64)</f>
        <v>8721579</v>
      </c>
      <c r="D65" s="17">
        <f>SUM(D12:D64)</f>
        <v>746359146.6500001</v>
      </c>
      <c r="E65" s="17">
        <f>SUM(E12:E64)</f>
        <v>59365765.37</v>
      </c>
      <c r="F65" s="24">
        <f>SUM(F12:F64)/COUNT(F12:F64)</f>
        <v>898</v>
      </c>
      <c r="G65" s="17">
        <f>+E65/SUM(F12:F64)/7</f>
        <v>181.6177750617979</v>
      </c>
    </row>
    <row r="66" spans="1:5" s="21" customFormat="1" ht="13.5" thickTop="1">
      <c r="A66" s="22"/>
      <c r="B66" s="20"/>
      <c r="C66" s="20"/>
      <c r="D66" s="20"/>
      <c r="E66" s="20"/>
    </row>
  </sheetData>
  <sheetProtection/>
  <mergeCells count="6">
    <mergeCell ref="A7:G7"/>
    <mergeCell ref="A1:G1"/>
    <mergeCell ref="A2:G2"/>
    <mergeCell ref="A3:G3"/>
    <mergeCell ref="A4:G4"/>
    <mergeCell ref="A5:G5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8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ySplit="11" topLeftCell="A54" activePane="bottomLeft" state="frozen"/>
      <selection pane="topLeft" activeCell="A1" sqref="A1"/>
      <selection pane="bottomLeft" activeCell="A69" sqref="A69"/>
    </sheetView>
  </sheetViews>
  <sheetFormatPr defaultColWidth="9.140625" defaultRowHeight="12.75"/>
  <cols>
    <col min="1" max="1" width="15.7109375" style="22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0" s="26" customFormat="1" ht="18">
      <c r="A1" s="42" t="s">
        <v>30</v>
      </c>
      <c r="B1" s="42"/>
      <c r="C1" s="42"/>
      <c r="D1" s="42"/>
      <c r="E1" s="42"/>
      <c r="F1" s="42"/>
      <c r="G1" s="42"/>
      <c r="H1" s="28"/>
      <c r="I1" s="28"/>
      <c r="J1" s="28"/>
    </row>
    <row r="2" spans="1:10" s="26" customFormat="1" ht="15">
      <c r="A2" s="43" t="s">
        <v>19</v>
      </c>
      <c r="B2" s="43"/>
      <c r="C2" s="43"/>
      <c r="D2" s="43"/>
      <c r="E2" s="43"/>
      <c r="F2" s="43"/>
      <c r="G2" s="43"/>
      <c r="H2" s="29"/>
      <c r="I2" s="29"/>
      <c r="J2" s="29"/>
    </row>
    <row r="3" spans="1:10" s="27" customFormat="1" ht="15">
      <c r="A3" s="43" t="s">
        <v>20</v>
      </c>
      <c r="B3" s="43"/>
      <c r="C3" s="43"/>
      <c r="D3" s="43"/>
      <c r="E3" s="43"/>
      <c r="F3" s="43"/>
      <c r="G3" s="43"/>
      <c r="H3" s="29"/>
      <c r="I3" s="29"/>
      <c r="J3" s="29"/>
    </row>
    <row r="4" spans="1:10" s="27" customFormat="1" ht="14.25">
      <c r="A4" s="44" t="s">
        <v>21</v>
      </c>
      <c r="B4" s="44"/>
      <c r="C4" s="44"/>
      <c r="D4" s="44"/>
      <c r="E4" s="44"/>
      <c r="F4" s="44"/>
      <c r="G4" s="44"/>
      <c r="H4" s="32"/>
      <c r="I4" s="30"/>
      <c r="J4" s="30"/>
    </row>
    <row r="5" spans="1:10" s="27" customFormat="1" ht="14.25">
      <c r="A5" s="45" t="s">
        <v>22</v>
      </c>
      <c r="B5" s="45"/>
      <c r="C5" s="45"/>
      <c r="D5" s="45"/>
      <c r="E5" s="45"/>
      <c r="F5" s="45"/>
      <c r="G5" s="45"/>
      <c r="H5" s="31"/>
      <c r="I5" s="31"/>
      <c r="J5" s="31"/>
    </row>
    <row r="6" spans="1:7" s="1" customFormat="1" ht="14.25">
      <c r="A6" s="33"/>
      <c r="B6" s="2"/>
      <c r="C6" s="2"/>
      <c r="D6" s="2"/>
      <c r="E6" s="2"/>
      <c r="F6" s="2"/>
      <c r="G6" s="2"/>
    </row>
    <row r="7" spans="1:7" s="1" customFormat="1" ht="12.75">
      <c r="A7" s="22"/>
      <c r="B7" s="4"/>
      <c r="C7" s="4"/>
      <c r="D7" s="4"/>
      <c r="E7" s="5"/>
      <c r="F7" s="6"/>
      <c r="G7" s="5"/>
    </row>
    <row r="8" spans="1:7" s="7" customFormat="1" ht="14.25" customHeight="1">
      <c r="A8" s="46" t="s">
        <v>34</v>
      </c>
      <c r="B8" s="47"/>
      <c r="C8" s="47"/>
      <c r="D8" s="47"/>
      <c r="E8" s="47"/>
      <c r="F8" s="47"/>
      <c r="G8" s="48"/>
    </row>
    <row r="9" spans="1:7" s="1" customFormat="1" ht="9" customHeight="1">
      <c r="A9" s="22"/>
      <c r="B9" s="4"/>
      <c r="C9" s="4"/>
      <c r="D9" s="4"/>
      <c r="E9" s="5"/>
      <c r="F9" s="6"/>
      <c r="G9" s="5"/>
    </row>
    <row r="10" spans="1:7" s="12" customFormat="1" ht="12">
      <c r="A10" s="34"/>
      <c r="B10" s="10" t="s">
        <v>0</v>
      </c>
      <c r="C10" s="10" t="s">
        <v>26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35" t="s">
        <v>11</v>
      </c>
      <c r="B11" s="8" t="s">
        <v>3</v>
      </c>
      <c r="C11" s="8" t="s">
        <v>28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42826</v>
      </c>
      <c r="B13" s="15">
        <v>17060256</v>
      </c>
      <c r="C13" s="15">
        <v>134273.62</v>
      </c>
      <c r="D13" s="37">
        <f>B13-C13-E13</f>
        <v>15640985.379999999</v>
      </c>
      <c r="E13" s="15">
        <v>1284997</v>
      </c>
      <c r="F13" s="16">
        <f>6580/7</f>
        <v>940</v>
      </c>
      <c r="G13" s="15">
        <v>195</v>
      </c>
    </row>
    <row r="14" spans="1:7" ht="12.75">
      <c r="A14" s="22">
        <f aca="true" t="shared" si="0" ref="A14:A64">+A13+7</f>
        <v>42833</v>
      </c>
      <c r="B14" s="15">
        <v>16928823</v>
      </c>
      <c r="C14" s="15">
        <v>144961.38</v>
      </c>
      <c r="D14" s="37">
        <f>IF(ISBLANK(B14),"",B14-C14-E14)</f>
        <v>15456724.620000001</v>
      </c>
      <c r="E14" s="15">
        <v>1327137</v>
      </c>
      <c r="F14" s="16">
        <f>6580/7</f>
        <v>940</v>
      </c>
      <c r="G14" s="15">
        <v>202</v>
      </c>
    </row>
    <row r="15" spans="1:7" ht="12.75">
      <c r="A15" s="22">
        <f t="shared" si="0"/>
        <v>42840</v>
      </c>
      <c r="B15" s="15">
        <v>17340601</v>
      </c>
      <c r="C15" s="15">
        <f>141650.44-75544</f>
        <v>66106.44</v>
      </c>
      <c r="D15" s="37">
        <f aca="true" t="shared" si="1" ref="D15:D64">IF(ISBLANK(B15),"",B15-C15-E15)</f>
        <v>15919675.559999999</v>
      </c>
      <c r="E15" s="15">
        <v>1354819</v>
      </c>
      <c r="F15" s="16">
        <v>940</v>
      </c>
      <c r="G15" s="15">
        <v>206</v>
      </c>
    </row>
    <row r="16" spans="1:7" ht="12.75">
      <c r="A16" s="22">
        <f t="shared" si="0"/>
        <v>42847</v>
      </c>
      <c r="B16" s="15">
        <v>16132903</v>
      </c>
      <c r="C16" s="15">
        <v>156689.49</v>
      </c>
      <c r="D16" s="37">
        <f t="shared" si="1"/>
        <v>14850937.51</v>
      </c>
      <c r="E16" s="15">
        <v>1125276</v>
      </c>
      <c r="F16" s="16">
        <f aca="true" t="shared" si="2" ref="F16:F21">6580/7</f>
        <v>940</v>
      </c>
      <c r="G16" s="15">
        <v>171</v>
      </c>
    </row>
    <row r="17" spans="1:7" ht="12.75">
      <c r="A17" s="22">
        <f t="shared" si="0"/>
        <v>42854</v>
      </c>
      <c r="B17" s="15">
        <v>15760082</v>
      </c>
      <c r="C17" s="15">
        <v>135923.55</v>
      </c>
      <c r="D17" s="37">
        <f t="shared" si="1"/>
        <v>14399263.45</v>
      </c>
      <c r="E17" s="15">
        <v>1224895</v>
      </c>
      <c r="F17" s="16">
        <f t="shared" si="2"/>
        <v>940</v>
      </c>
      <c r="G17" s="15">
        <v>186</v>
      </c>
    </row>
    <row r="18" spans="1:7" ht="12.75">
      <c r="A18" s="22">
        <f t="shared" si="0"/>
        <v>42861</v>
      </c>
      <c r="B18" s="15">
        <v>17592660</v>
      </c>
      <c r="C18" s="15">
        <v>203812.72</v>
      </c>
      <c r="D18" s="37">
        <f t="shared" si="1"/>
        <v>16084060.280000001</v>
      </c>
      <c r="E18" s="15">
        <v>1304787</v>
      </c>
      <c r="F18" s="16">
        <f t="shared" si="2"/>
        <v>940</v>
      </c>
      <c r="G18" s="15">
        <v>198</v>
      </c>
    </row>
    <row r="19" spans="1:7" ht="12.75">
      <c r="A19" s="22">
        <f t="shared" si="0"/>
        <v>42868</v>
      </c>
      <c r="B19" s="15">
        <v>16334916</v>
      </c>
      <c r="C19" s="15">
        <f>172605.16-64866</f>
        <v>107739.16</v>
      </c>
      <c r="D19" s="37">
        <f t="shared" si="1"/>
        <v>14917550.84</v>
      </c>
      <c r="E19" s="15">
        <v>1309626</v>
      </c>
      <c r="F19" s="16">
        <f t="shared" si="2"/>
        <v>940</v>
      </c>
      <c r="G19" s="15">
        <v>199</v>
      </c>
    </row>
    <row r="20" spans="1:7" ht="12.75">
      <c r="A20" s="22">
        <f t="shared" si="0"/>
        <v>42875</v>
      </c>
      <c r="B20" s="15">
        <v>16219827</v>
      </c>
      <c r="C20" s="15">
        <v>199914.16</v>
      </c>
      <c r="D20" s="37">
        <f t="shared" si="1"/>
        <v>14876684.84</v>
      </c>
      <c r="E20" s="15">
        <v>1143228</v>
      </c>
      <c r="F20" s="16">
        <f t="shared" si="2"/>
        <v>940</v>
      </c>
      <c r="G20" s="15">
        <v>174</v>
      </c>
    </row>
    <row r="21" spans="1:7" ht="12.75">
      <c r="A21" s="22">
        <f t="shared" si="0"/>
        <v>42882</v>
      </c>
      <c r="B21" s="15">
        <v>15969273</v>
      </c>
      <c r="C21" s="15">
        <f>201940.42-75713</f>
        <v>126227.42000000001</v>
      </c>
      <c r="D21" s="37">
        <f t="shared" si="1"/>
        <v>14616567.58</v>
      </c>
      <c r="E21" s="15">
        <v>1226478</v>
      </c>
      <c r="F21" s="16">
        <f t="shared" si="2"/>
        <v>940</v>
      </c>
      <c r="G21" s="15">
        <v>186</v>
      </c>
    </row>
    <row r="22" spans="1:7" ht="12.75">
      <c r="A22" s="22">
        <f t="shared" si="0"/>
        <v>42889</v>
      </c>
      <c r="B22" s="15">
        <v>16811888</v>
      </c>
      <c r="C22" s="15">
        <v>161578.92</v>
      </c>
      <c r="D22" s="37">
        <f t="shared" si="1"/>
        <v>15402158.08</v>
      </c>
      <c r="E22" s="15">
        <v>1248151</v>
      </c>
      <c r="F22" s="16">
        <f>6580/7</f>
        <v>940</v>
      </c>
      <c r="G22" s="15">
        <v>190</v>
      </c>
    </row>
    <row r="23" spans="1:7" ht="12.75">
      <c r="A23" s="22">
        <f t="shared" si="0"/>
        <v>42896</v>
      </c>
      <c r="B23" s="15">
        <v>16101157</v>
      </c>
      <c r="C23" s="15">
        <v>207618.75</v>
      </c>
      <c r="D23" s="37">
        <f t="shared" si="1"/>
        <v>14725386.25</v>
      </c>
      <c r="E23" s="15">
        <v>1168152</v>
      </c>
      <c r="F23" s="16">
        <v>940</v>
      </c>
      <c r="G23" s="15">
        <v>178</v>
      </c>
    </row>
    <row r="24" spans="1:7" ht="12.75">
      <c r="A24" s="22">
        <f t="shared" si="0"/>
        <v>42903</v>
      </c>
      <c r="B24" s="15">
        <v>15483262</v>
      </c>
      <c r="C24" s="15">
        <v>176441.68</v>
      </c>
      <c r="D24" s="37">
        <f t="shared" si="1"/>
        <v>14153214.32</v>
      </c>
      <c r="E24" s="15">
        <v>1153606</v>
      </c>
      <c r="F24" s="16">
        <f>6580/7</f>
        <v>940</v>
      </c>
      <c r="G24" s="15">
        <v>175</v>
      </c>
    </row>
    <row r="25" spans="1:7" ht="12.75">
      <c r="A25" s="22">
        <f t="shared" si="0"/>
        <v>42910</v>
      </c>
      <c r="B25" s="15">
        <v>15463957</v>
      </c>
      <c r="C25" s="15">
        <v>169412.94</v>
      </c>
      <c r="D25" s="37">
        <f t="shared" si="1"/>
        <v>14135045.06</v>
      </c>
      <c r="E25" s="15">
        <v>1159499</v>
      </c>
      <c r="F25" s="16">
        <f>6580/7</f>
        <v>940</v>
      </c>
      <c r="G25" s="15">
        <v>176</v>
      </c>
    </row>
    <row r="26" spans="1:7" ht="12.75">
      <c r="A26" s="22">
        <f t="shared" si="0"/>
        <v>42917</v>
      </c>
      <c r="B26" s="15">
        <v>16629501</v>
      </c>
      <c r="C26" s="15">
        <f>172183.95-97754</f>
        <v>74429.95000000001</v>
      </c>
      <c r="D26" s="37">
        <f t="shared" si="1"/>
        <v>15182252.05</v>
      </c>
      <c r="E26" s="15">
        <v>1372819</v>
      </c>
      <c r="F26" s="16">
        <v>940</v>
      </c>
      <c r="G26" s="15">
        <v>209</v>
      </c>
    </row>
    <row r="27" spans="1:7" ht="12.75">
      <c r="A27" s="22">
        <f t="shared" si="0"/>
        <v>42924</v>
      </c>
      <c r="B27" s="15">
        <v>17477175</v>
      </c>
      <c r="C27" s="15">
        <v>193731.04</v>
      </c>
      <c r="D27" s="37">
        <f t="shared" si="1"/>
        <v>15907534.96</v>
      </c>
      <c r="E27" s="15">
        <v>1375909</v>
      </c>
      <c r="F27" s="16">
        <f>6580/7</f>
        <v>940</v>
      </c>
      <c r="G27" s="15">
        <v>209</v>
      </c>
    </row>
    <row r="28" spans="1:7" ht="12.75">
      <c r="A28" s="22">
        <f t="shared" si="0"/>
        <v>42931</v>
      </c>
      <c r="B28" s="15">
        <v>15787999</v>
      </c>
      <c r="C28" s="15">
        <v>188348.32</v>
      </c>
      <c r="D28" s="37">
        <f t="shared" si="1"/>
        <v>14451705.68</v>
      </c>
      <c r="E28" s="15">
        <v>1147945</v>
      </c>
      <c r="F28" s="16">
        <f>6580/7</f>
        <v>940</v>
      </c>
      <c r="G28" s="15">
        <v>174</v>
      </c>
    </row>
    <row r="29" spans="1:7" ht="12.75">
      <c r="A29" s="22">
        <f t="shared" si="0"/>
        <v>42938</v>
      </c>
      <c r="B29" s="15">
        <v>13854921</v>
      </c>
      <c r="C29" s="15">
        <v>169015.89</v>
      </c>
      <c r="D29" s="37">
        <f t="shared" si="1"/>
        <v>12687699.11</v>
      </c>
      <c r="E29" s="15">
        <v>998206</v>
      </c>
      <c r="F29" s="16">
        <f>6580/7</f>
        <v>940</v>
      </c>
      <c r="G29" s="15">
        <v>152</v>
      </c>
    </row>
    <row r="30" spans="1:7" ht="12.75">
      <c r="A30" s="22">
        <f t="shared" si="0"/>
        <v>42945</v>
      </c>
      <c r="B30" s="15">
        <v>15162497</v>
      </c>
      <c r="C30" s="15">
        <v>223816.08</v>
      </c>
      <c r="D30" s="37">
        <f t="shared" si="1"/>
        <v>13864609.92</v>
      </c>
      <c r="E30" s="15">
        <v>1074071</v>
      </c>
      <c r="F30" s="16">
        <v>940</v>
      </c>
      <c r="G30" s="15">
        <v>163</v>
      </c>
    </row>
    <row r="31" spans="1:7" ht="12.75">
      <c r="A31" s="22">
        <f t="shared" si="0"/>
        <v>42952</v>
      </c>
      <c r="B31" s="15">
        <v>17677082</v>
      </c>
      <c r="C31" s="15">
        <f>296679.31-54569</f>
        <v>242110.31</v>
      </c>
      <c r="D31" s="37">
        <f t="shared" si="1"/>
        <v>16230711.690000001</v>
      </c>
      <c r="E31" s="15">
        <v>1204260</v>
      </c>
      <c r="F31" s="16">
        <f>6580/7</f>
        <v>940</v>
      </c>
      <c r="G31" s="15">
        <v>183</v>
      </c>
    </row>
    <row r="32" spans="1:7" ht="12.75">
      <c r="A32" s="22">
        <f t="shared" si="0"/>
        <v>42959</v>
      </c>
      <c r="B32" s="15">
        <v>11997892</v>
      </c>
      <c r="C32" s="15">
        <v>240106</v>
      </c>
      <c r="D32" s="37">
        <f t="shared" si="1"/>
        <v>10923455</v>
      </c>
      <c r="E32" s="15">
        <v>834331</v>
      </c>
      <c r="F32" s="16">
        <v>715</v>
      </c>
      <c r="G32" s="15">
        <v>168</v>
      </c>
    </row>
    <row r="33" spans="1:7" ht="12.75">
      <c r="A33" s="22">
        <f t="shared" si="0"/>
        <v>42966</v>
      </c>
      <c r="B33" s="15">
        <v>11187696</v>
      </c>
      <c r="C33" s="15">
        <v>284776</v>
      </c>
      <c r="D33" s="37">
        <f t="shared" si="1"/>
        <v>10208559</v>
      </c>
      <c r="E33" s="15">
        <v>694361</v>
      </c>
      <c r="F33" s="16">
        <f>4746/7</f>
        <v>678</v>
      </c>
      <c r="G33" s="15">
        <v>146</v>
      </c>
    </row>
    <row r="34" spans="1:7" ht="12.75">
      <c r="A34" s="22">
        <f t="shared" si="0"/>
        <v>42973</v>
      </c>
      <c r="B34" s="15">
        <v>15604967</v>
      </c>
      <c r="C34" s="15">
        <v>334501</v>
      </c>
      <c r="D34" s="37">
        <f t="shared" si="1"/>
        <v>14262209</v>
      </c>
      <c r="E34" s="15">
        <v>1008257</v>
      </c>
      <c r="F34" s="16">
        <f>3960/7</f>
        <v>565.7142857142857</v>
      </c>
      <c r="G34" s="15">
        <v>255</v>
      </c>
    </row>
    <row r="35" spans="1:7" ht="12.75">
      <c r="A35" s="22">
        <f t="shared" si="0"/>
        <v>42980</v>
      </c>
      <c r="B35" s="15">
        <v>14768017</v>
      </c>
      <c r="C35" s="15">
        <v>182193</v>
      </c>
      <c r="D35" s="37">
        <f t="shared" si="1"/>
        <v>13537104</v>
      </c>
      <c r="E35" s="15">
        <v>1048720</v>
      </c>
      <c r="F35" s="16">
        <f>3829/7</f>
        <v>547</v>
      </c>
      <c r="G35" s="15">
        <v>274</v>
      </c>
    </row>
    <row r="36" spans="1:7" ht="12.75">
      <c r="A36" s="22">
        <f t="shared" si="0"/>
        <v>42987</v>
      </c>
      <c r="B36" s="15">
        <v>16567824</v>
      </c>
      <c r="C36" s="15">
        <v>188008</v>
      </c>
      <c r="D36" s="37">
        <f t="shared" si="1"/>
        <v>15124960</v>
      </c>
      <c r="E36" s="15">
        <v>1254856</v>
      </c>
      <c r="F36" s="16">
        <f>4669/7</f>
        <v>667</v>
      </c>
      <c r="G36" s="15">
        <v>269</v>
      </c>
    </row>
    <row r="37" spans="1:7" ht="12.75">
      <c r="A37" s="22">
        <f t="shared" si="0"/>
        <v>42994</v>
      </c>
      <c r="B37" s="15">
        <v>13022714</v>
      </c>
      <c r="C37" s="15">
        <v>147105</v>
      </c>
      <c r="D37" s="37">
        <f t="shared" si="1"/>
        <v>12011363</v>
      </c>
      <c r="E37" s="15">
        <v>864246</v>
      </c>
      <c r="F37" s="16">
        <f>3658/7</f>
        <v>522.5714285714286</v>
      </c>
      <c r="G37" s="15">
        <v>236</v>
      </c>
    </row>
    <row r="38" spans="1:7" ht="12.75">
      <c r="A38" s="22">
        <f t="shared" si="0"/>
        <v>43001</v>
      </c>
      <c r="B38" s="15">
        <v>13256665</v>
      </c>
      <c r="C38" s="15">
        <f>142230-25293</f>
        <v>116937</v>
      </c>
      <c r="D38" s="37">
        <f t="shared" si="1"/>
        <v>12199884</v>
      </c>
      <c r="E38" s="15">
        <v>939844</v>
      </c>
      <c r="F38" s="16">
        <f>3710/7</f>
        <v>530</v>
      </c>
      <c r="G38" s="15">
        <v>253</v>
      </c>
    </row>
    <row r="39" spans="1:7" ht="12.75">
      <c r="A39" s="22">
        <f t="shared" si="0"/>
        <v>43008</v>
      </c>
      <c r="B39" s="15">
        <v>13720104</v>
      </c>
      <c r="C39" s="15">
        <v>152429</v>
      </c>
      <c r="D39" s="37">
        <f t="shared" si="1"/>
        <v>12555837</v>
      </c>
      <c r="E39" s="15">
        <v>1011838</v>
      </c>
      <c r="F39" s="16">
        <f>4446/7</f>
        <v>635.1428571428571</v>
      </c>
      <c r="G39" s="15">
        <v>228</v>
      </c>
    </row>
    <row r="40" spans="1:7" ht="12.75">
      <c r="A40" s="22">
        <f t="shared" si="0"/>
        <v>43015</v>
      </c>
      <c r="B40" s="15">
        <v>15206411</v>
      </c>
      <c r="C40" s="15">
        <f>200396-140354</f>
        <v>60042</v>
      </c>
      <c r="D40" s="37">
        <f t="shared" si="1"/>
        <v>13853790</v>
      </c>
      <c r="E40" s="15">
        <v>1292579</v>
      </c>
      <c r="F40" s="16">
        <f aca="true" t="shared" si="3" ref="F40:F45">6286/7</f>
        <v>898</v>
      </c>
      <c r="G40" s="15">
        <v>206</v>
      </c>
    </row>
    <row r="41" spans="1:7" ht="12.75">
      <c r="A41" s="22">
        <f t="shared" si="0"/>
        <v>43022</v>
      </c>
      <c r="B41" s="15">
        <v>15490634</v>
      </c>
      <c r="C41" s="15">
        <v>174666</v>
      </c>
      <c r="D41" s="37">
        <f t="shared" si="1"/>
        <v>14146399</v>
      </c>
      <c r="E41" s="15">
        <v>1169569</v>
      </c>
      <c r="F41" s="16">
        <f t="shared" si="3"/>
        <v>898</v>
      </c>
      <c r="G41" s="15">
        <v>186</v>
      </c>
    </row>
    <row r="42" spans="1:7" ht="12.75">
      <c r="A42" s="22">
        <f t="shared" si="0"/>
        <v>43029</v>
      </c>
      <c r="B42" s="15">
        <v>14258648</v>
      </c>
      <c r="C42" s="15">
        <v>191806</v>
      </c>
      <c r="D42" s="37">
        <f t="shared" si="1"/>
        <v>13108652</v>
      </c>
      <c r="E42" s="15">
        <v>958190</v>
      </c>
      <c r="F42" s="16">
        <f t="shared" si="3"/>
        <v>898</v>
      </c>
      <c r="G42" s="15">
        <v>152</v>
      </c>
    </row>
    <row r="43" spans="1:7" ht="12.75">
      <c r="A43" s="22">
        <f t="shared" si="0"/>
        <v>43036</v>
      </c>
      <c r="B43" s="15">
        <v>13695036</v>
      </c>
      <c r="C43" s="15">
        <v>149327</v>
      </c>
      <c r="D43" s="37">
        <f t="shared" si="1"/>
        <v>12545877</v>
      </c>
      <c r="E43" s="15">
        <v>999832</v>
      </c>
      <c r="F43" s="16">
        <f t="shared" si="3"/>
        <v>898</v>
      </c>
      <c r="G43" s="15">
        <v>159</v>
      </c>
    </row>
    <row r="44" spans="1:7" ht="12.75">
      <c r="A44" s="22">
        <f t="shared" si="0"/>
        <v>43043</v>
      </c>
      <c r="B44" s="15">
        <v>14862688</v>
      </c>
      <c r="C44" s="15">
        <v>168490</v>
      </c>
      <c r="D44" s="37">
        <f t="shared" si="1"/>
        <v>13625078</v>
      </c>
      <c r="E44" s="15">
        <v>1069120</v>
      </c>
      <c r="F44" s="16">
        <f t="shared" si="3"/>
        <v>898</v>
      </c>
      <c r="G44" s="15">
        <v>170</v>
      </c>
    </row>
    <row r="45" spans="1:7" ht="12.75">
      <c r="A45" s="22">
        <f t="shared" si="0"/>
        <v>43050</v>
      </c>
      <c r="B45" s="15">
        <v>14761536</v>
      </c>
      <c r="C45" s="15">
        <f>160831-19687</f>
        <v>141144</v>
      </c>
      <c r="D45" s="37">
        <f t="shared" si="1"/>
        <v>13543960</v>
      </c>
      <c r="E45" s="15">
        <v>1076432</v>
      </c>
      <c r="F45" s="16">
        <f t="shared" si="3"/>
        <v>898</v>
      </c>
      <c r="G45" s="15">
        <v>171</v>
      </c>
    </row>
    <row r="46" spans="1:7" ht="12.75">
      <c r="A46" s="22">
        <f t="shared" si="0"/>
        <v>43057</v>
      </c>
      <c r="B46" s="15">
        <v>15045821</v>
      </c>
      <c r="C46" s="15">
        <v>126840</v>
      </c>
      <c r="D46" s="37">
        <f t="shared" si="1"/>
        <v>13790830</v>
      </c>
      <c r="E46" s="15">
        <v>1128151</v>
      </c>
      <c r="F46" s="16">
        <f aca="true" t="shared" si="4" ref="F46:F51">6286/7</f>
        <v>898</v>
      </c>
      <c r="G46" s="15">
        <v>179</v>
      </c>
    </row>
    <row r="47" spans="1:7" ht="12.75">
      <c r="A47" s="22">
        <f t="shared" si="0"/>
        <v>43064</v>
      </c>
      <c r="B47" s="15">
        <v>14381902</v>
      </c>
      <c r="C47" s="15">
        <v>171270</v>
      </c>
      <c r="D47" s="37">
        <f t="shared" si="1"/>
        <v>13204037</v>
      </c>
      <c r="E47" s="15">
        <v>1006595</v>
      </c>
      <c r="F47" s="16">
        <f t="shared" si="4"/>
        <v>898</v>
      </c>
      <c r="G47" s="15">
        <v>160</v>
      </c>
    </row>
    <row r="48" spans="1:7" ht="12.75">
      <c r="A48" s="22">
        <f t="shared" si="0"/>
        <v>43071</v>
      </c>
      <c r="B48" s="15">
        <v>14533325</v>
      </c>
      <c r="C48" s="15">
        <v>203286</v>
      </c>
      <c r="D48" s="37">
        <f t="shared" si="1"/>
        <v>13342846</v>
      </c>
      <c r="E48" s="15">
        <v>987193</v>
      </c>
      <c r="F48" s="16">
        <f t="shared" si="4"/>
        <v>898</v>
      </c>
      <c r="G48" s="15">
        <v>157</v>
      </c>
    </row>
    <row r="49" spans="1:7" ht="12.75">
      <c r="A49" s="22">
        <f t="shared" si="0"/>
        <v>43078</v>
      </c>
      <c r="B49" s="15">
        <v>12196570</v>
      </c>
      <c r="C49" s="15">
        <f>180662-79467</f>
        <v>101195</v>
      </c>
      <c r="D49" s="37">
        <f t="shared" si="1"/>
        <v>11160683</v>
      </c>
      <c r="E49" s="15">
        <v>934692</v>
      </c>
      <c r="F49" s="16">
        <f t="shared" si="4"/>
        <v>898</v>
      </c>
      <c r="G49" s="15">
        <v>149</v>
      </c>
    </row>
    <row r="50" spans="1:7" ht="12.75">
      <c r="A50" s="22">
        <f t="shared" si="0"/>
        <v>43085</v>
      </c>
      <c r="B50" s="15">
        <v>10226129</v>
      </c>
      <c r="C50" s="15">
        <v>141651</v>
      </c>
      <c r="D50" s="37">
        <f t="shared" si="1"/>
        <v>9339673</v>
      </c>
      <c r="E50" s="15">
        <v>744805</v>
      </c>
      <c r="F50" s="16">
        <f t="shared" si="4"/>
        <v>898</v>
      </c>
      <c r="G50" s="15">
        <v>118</v>
      </c>
    </row>
    <row r="51" spans="1:7" ht="12.75">
      <c r="A51" s="22">
        <f t="shared" si="0"/>
        <v>43092</v>
      </c>
      <c r="B51" s="15">
        <v>12828576</v>
      </c>
      <c r="C51" s="15">
        <v>123861</v>
      </c>
      <c r="D51" s="37">
        <f t="shared" si="1"/>
        <v>11824432</v>
      </c>
      <c r="E51" s="15">
        <v>880283</v>
      </c>
      <c r="F51" s="16">
        <f t="shared" si="4"/>
        <v>898</v>
      </c>
      <c r="G51" s="15">
        <v>140</v>
      </c>
    </row>
    <row r="52" spans="1:7" ht="12.75">
      <c r="A52" s="22">
        <f t="shared" si="0"/>
        <v>43099</v>
      </c>
      <c r="B52" s="15">
        <v>12670604</v>
      </c>
      <c r="C52" s="15">
        <v>149451</v>
      </c>
      <c r="D52" s="37">
        <f t="shared" si="1"/>
        <v>11623947</v>
      </c>
      <c r="E52" s="15">
        <v>897206</v>
      </c>
      <c r="F52" s="16">
        <f aca="true" t="shared" si="5" ref="F52:F57">6286/7</f>
        <v>898</v>
      </c>
      <c r="G52" s="15">
        <v>143</v>
      </c>
    </row>
    <row r="53" spans="1:7" ht="12.75">
      <c r="A53" s="22">
        <f t="shared" si="0"/>
        <v>43106</v>
      </c>
      <c r="B53" s="15">
        <v>14031462</v>
      </c>
      <c r="C53" s="15">
        <f>199019-18855</f>
        <v>180164</v>
      </c>
      <c r="D53" s="37">
        <f t="shared" si="1"/>
        <v>12837289</v>
      </c>
      <c r="E53" s="15">
        <v>1014009</v>
      </c>
      <c r="F53" s="16">
        <f t="shared" si="5"/>
        <v>898</v>
      </c>
      <c r="G53" s="15">
        <v>161</v>
      </c>
    </row>
    <row r="54" spans="1:7" ht="12.75">
      <c r="A54" s="22">
        <f t="shared" si="0"/>
        <v>43113</v>
      </c>
      <c r="B54" s="15">
        <v>13547905</v>
      </c>
      <c r="C54" s="15">
        <v>160189</v>
      </c>
      <c r="D54" s="37">
        <f t="shared" si="1"/>
        <v>12385489</v>
      </c>
      <c r="E54" s="15">
        <v>1002227</v>
      </c>
      <c r="F54" s="16">
        <f t="shared" si="5"/>
        <v>898</v>
      </c>
      <c r="G54" s="15">
        <v>159</v>
      </c>
    </row>
    <row r="55" spans="1:7" ht="12.75">
      <c r="A55" s="22">
        <f t="shared" si="0"/>
        <v>43120</v>
      </c>
      <c r="B55" s="15">
        <v>14387956</v>
      </c>
      <c r="C55" s="15">
        <v>200766</v>
      </c>
      <c r="D55" s="37">
        <f t="shared" si="1"/>
        <v>13167172</v>
      </c>
      <c r="E55" s="15">
        <v>1020018</v>
      </c>
      <c r="F55" s="16">
        <f t="shared" si="5"/>
        <v>898</v>
      </c>
      <c r="G55" s="15">
        <v>162</v>
      </c>
    </row>
    <row r="56" spans="1:7" ht="12.75">
      <c r="A56" s="22">
        <f t="shared" si="0"/>
        <v>43127</v>
      </c>
      <c r="B56" s="15">
        <v>15266077</v>
      </c>
      <c r="C56" s="15">
        <v>178353</v>
      </c>
      <c r="D56" s="37">
        <f t="shared" si="1"/>
        <v>13982933</v>
      </c>
      <c r="E56" s="15">
        <v>1104791</v>
      </c>
      <c r="F56" s="16">
        <f t="shared" si="5"/>
        <v>898</v>
      </c>
      <c r="G56" s="15">
        <v>176</v>
      </c>
    </row>
    <row r="57" spans="1:7" ht="12.75">
      <c r="A57" s="22">
        <f t="shared" si="0"/>
        <v>43134</v>
      </c>
      <c r="B57" s="15">
        <v>15391282</v>
      </c>
      <c r="C57" s="15">
        <v>176518</v>
      </c>
      <c r="D57" s="37">
        <f t="shared" si="1"/>
        <v>14133028</v>
      </c>
      <c r="E57" s="15">
        <v>1081736</v>
      </c>
      <c r="F57" s="16">
        <f t="shared" si="5"/>
        <v>898</v>
      </c>
      <c r="G57" s="15">
        <v>172</v>
      </c>
    </row>
    <row r="58" spans="1:7" ht="12.75">
      <c r="A58" s="22">
        <f t="shared" si="0"/>
        <v>43141</v>
      </c>
      <c r="B58" s="15">
        <v>12648340</v>
      </c>
      <c r="C58" s="15">
        <f>148495-69829</f>
        <v>78666</v>
      </c>
      <c r="D58" s="37">
        <f t="shared" si="1"/>
        <v>11572492</v>
      </c>
      <c r="E58" s="15">
        <v>997182</v>
      </c>
      <c r="F58" s="16">
        <f aca="true" t="shared" si="6" ref="F58:F63">6286/7</f>
        <v>898</v>
      </c>
      <c r="G58" s="15">
        <v>159</v>
      </c>
    </row>
    <row r="59" spans="1:7" ht="12.75">
      <c r="A59" s="22">
        <f t="shared" si="0"/>
        <v>43148</v>
      </c>
      <c r="B59" s="15">
        <v>16616440</v>
      </c>
      <c r="C59" s="15">
        <v>175280</v>
      </c>
      <c r="D59" s="37">
        <f t="shared" si="1"/>
        <v>15210722</v>
      </c>
      <c r="E59" s="15">
        <v>1230438</v>
      </c>
      <c r="F59" s="16">
        <f t="shared" si="6"/>
        <v>898</v>
      </c>
      <c r="G59" s="15">
        <v>196</v>
      </c>
    </row>
    <row r="60" spans="1:7" ht="12.75">
      <c r="A60" s="22">
        <f t="shared" si="0"/>
        <v>43155</v>
      </c>
      <c r="B60" s="15">
        <v>18736718</v>
      </c>
      <c r="C60" s="15">
        <v>126956</v>
      </c>
      <c r="D60" s="37">
        <f t="shared" si="1"/>
        <v>17235113</v>
      </c>
      <c r="E60" s="15">
        <v>1374649</v>
      </c>
      <c r="F60" s="16">
        <f t="shared" si="6"/>
        <v>898</v>
      </c>
      <c r="G60" s="15">
        <v>219</v>
      </c>
    </row>
    <row r="61" spans="1:7" ht="12.75">
      <c r="A61" s="22">
        <f t="shared" si="0"/>
        <v>43162</v>
      </c>
      <c r="B61" s="15">
        <v>17194354</v>
      </c>
      <c r="C61" s="15">
        <f>217879-100</f>
        <v>217779</v>
      </c>
      <c r="D61" s="37">
        <f t="shared" si="1"/>
        <v>15652962</v>
      </c>
      <c r="E61" s="15">
        <v>1323613</v>
      </c>
      <c r="F61" s="16">
        <f t="shared" si="6"/>
        <v>898</v>
      </c>
      <c r="G61" s="15">
        <v>211</v>
      </c>
    </row>
    <row r="62" spans="1:7" ht="12.75">
      <c r="A62" s="22">
        <f t="shared" si="0"/>
        <v>43169</v>
      </c>
      <c r="B62" s="15">
        <v>17024070</v>
      </c>
      <c r="C62" s="15">
        <f>178600-77654</f>
        <v>100946</v>
      </c>
      <c r="D62" s="37">
        <f t="shared" si="1"/>
        <v>15626304</v>
      </c>
      <c r="E62" s="15">
        <v>1296820</v>
      </c>
      <c r="F62" s="16">
        <f t="shared" si="6"/>
        <v>898</v>
      </c>
      <c r="G62" s="15">
        <v>206</v>
      </c>
    </row>
    <row r="63" spans="1:7" ht="12.75">
      <c r="A63" s="22">
        <f t="shared" si="0"/>
        <v>43176</v>
      </c>
      <c r="B63" s="15">
        <v>16168515.16</v>
      </c>
      <c r="C63" s="15">
        <v>140675.33000000002</v>
      </c>
      <c r="D63" s="37">
        <f t="shared" si="1"/>
        <v>14801356.81</v>
      </c>
      <c r="E63" s="15">
        <v>1226483.02</v>
      </c>
      <c r="F63" s="16">
        <f t="shared" si="6"/>
        <v>898</v>
      </c>
      <c r="G63" s="15">
        <v>195.113429844098</v>
      </c>
    </row>
    <row r="64" spans="1:7" ht="12.75">
      <c r="A64" s="22">
        <f t="shared" si="0"/>
        <v>43183</v>
      </c>
      <c r="B64" s="15">
        <v>15851421</v>
      </c>
      <c r="C64" s="15">
        <v>112808</v>
      </c>
      <c r="D64" s="37">
        <f t="shared" si="1"/>
        <v>14530981</v>
      </c>
      <c r="E64" s="15">
        <v>1207632</v>
      </c>
      <c r="F64" s="16">
        <f>6286/7</f>
        <v>898</v>
      </c>
      <c r="G64" s="15">
        <v>192</v>
      </c>
    </row>
    <row r="66" spans="1:7" ht="13.5" thickBot="1">
      <c r="A66" s="22" t="s">
        <v>8</v>
      </c>
      <c r="B66" s="17">
        <f>SUM(B13:B65)</f>
        <v>786937079.16</v>
      </c>
      <c r="C66" s="17">
        <f>SUM(C13:C65)</f>
        <v>8480336.15</v>
      </c>
      <c r="D66" s="17">
        <f>SUM(D13:D65)</f>
        <v>720572183.99</v>
      </c>
      <c r="E66" s="17">
        <f>SUM(E13:E65)</f>
        <v>57884559.02</v>
      </c>
      <c r="F66" s="24">
        <f>SUM(F13:F65)/COUNT(F13:F65)</f>
        <v>868.6620879120879</v>
      </c>
      <c r="G66" s="17">
        <f>+E66/SUM(F13:F65)/7</f>
        <v>183.0671742258684</v>
      </c>
    </row>
    <row r="67" spans="1:5" s="21" customFormat="1" ht="13.5" thickTop="1">
      <c r="A67" s="22"/>
      <c r="B67" s="20"/>
      <c r="C67" s="20"/>
      <c r="D67" s="20"/>
      <c r="E67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15.7109375" style="22" customWidth="1"/>
    <col min="2" max="5" width="15.7109375" style="15" customWidth="1"/>
    <col min="6" max="6" width="15.7109375" style="16" customWidth="1"/>
    <col min="7" max="7" width="15.7109375" style="15" customWidth="1"/>
  </cols>
  <sheetData>
    <row r="1" spans="1:10" s="26" customFormat="1" ht="18">
      <c r="A1" s="42" t="s">
        <v>30</v>
      </c>
      <c r="B1" s="42"/>
      <c r="C1" s="42"/>
      <c r="D1" s="42"/>
      <c r="E1" s="42"/>
      <c r="F1" s="42"/>
      <c r="G1" s="42"/>
      <c r="H1" s="28"/>
      <c r="I1" s="28"/>
      <c r="J1" s="28"/>
    </row>
    <row r="2" spans="1:10" s="26" customFormat="1" ht="15">
      <c r="A2" s="43" t="s">
        <v>19</v>
      </c>
      <c r="B2" s="43"/>
      <c r="C2" s="43"/>
      <c r="D2" s="43"/>
      <c r="E2" s="43"/>
      <c r="F2" s="43"/>
      <c r="G2" s="43"/>
      <c r="H2" s="29"/>
      <c r="I2" s="29"/>
      <c r="J2" s="29"/>
    </row>
    <row r="3" spans="1:10" s="27" customFormat="1" ht="15">
      <c r="A3" s="43" t="s">
        <v>20</v>
      </c>
      <c r="B3" s="43"/>
      <c r="C3" s="43"/>
      <c r="D3" s="43"/>
      <c r="E3" s="43"/>
      <c r="F3" s="43"/>
      <c r="G3" s="43"/>
      <c r="H3" s="29"/>
      <c r="I3" s="29"/>
      <c r="J3" s="29"/>
    </row>
    <row r="4" spans="1:10" s="27" customFormat="1" ht="14.25">
      <c r="A4" s="44" t="s">
        <v>21</v>
      </c>
      <c r="B4" s="44"/>
      <c r="C4" s="44"/>
      <c r="D4" s="44"/>
      <c r="E4" s="44"/>
      <c r="F4" s="44"/>
      <c r="G4" s="44"/>
      <c r="H4" s="32"/>
      <c r="I4" s="30"/>
      <c r="J4" s="30"/>
    </row>
    <row r="5" spans="1:10" s="27" customFormat="1" ht="14.25">
      <c r="A5" s="45" t="s">
        <v>22</v>
      </c>
      <c r="B5" s="45"/>
      <c r="C5" s="45"/>
      <c r="D5" s="45"/>
      <c r="E5" s="45"/>
      <c r="F5" s="45"/>
      <c r="G5" s="45"/>
      <c r="H5" s="31"/>
      <c r="I5" s="31"/>
      <c r="J5" s="31"/>
    </row>
    <row r="6" spans="1:7" s="1" customFormat="1" ht="14.25">
      <c r="A6" s="33"/>
      <c r="B6" s="2"/>
      <c r="C6" s="2"/>
      <c r="D6" s="2"/>
      <c r="E6" s="2"/>
      <c r="F6" s="2"/>
      <c r="G6" s="2"/>
    </row>
    <row r="7" spans="1:7" s="1" customFormat="1" ht="12.75">
      <c r="A7" s="22"/>
      <c r="B7" s="4"/>
      <c r="C7" s="4"/>
      <c r="D7" s="4"/>
      <c r="E7" s="5"/>
      <c r="F7" s="6"/>
      <c r="G7" s="5"/>
    </row>
    <row r="8" spans="1:7" s="7" customFormat="1" ht="14.25" customHeight="1">
      <c r="A8" s="46" t="s">
        <v>33</v>
      </c>
      <c r="B8" s="47"/>
      <c r="C8" s="47"/>
      <c r="D8" s="47"/>
      <c r="E8" s="47"/>
      <c r="F8" s="47"/>
      <c r="G8" s="48"/>
    </row>
    <row r="9" spans="1:7" s="1" customFormat="1" ht="9" customHeight="1">
      <c r="A9" s="22"/>
      <c r="B9" s="4"/>
      <c r="C9" s="4"/>
      <c r="D9" s="4"/>
      <c r="E9" s="5"/>
      <c r="F9" s="6"/>
      <c r="G9" s="5"/>
    </row>
    <row r="10" spans="1:7" s="12" customFormat="1" ht="12">
      <c r="A10" s="34"/>
      <c r="B10" s="10" t="s">
        <v>0</v>
      </c>
      <c r="C10" s="10" t="s">
        <v>26</v>
      </c>
      <c r="D10" s="10" t="s">
        <v>0</v>
      </c>
      <c r="E10" s="10"/>
      <c r="F10" s="11" t="s">
        <v>1</v>
      </c>
      <c r="G10" s="10" t="s">
        <v>2</v>
      </c>
    </row>
    <row r="11" spans="1:7" s="12" customFormat="1" ht="12">
      <c r="A11" s="35" t="s">
        <v>11</v>
      </c>
      <c r="B11" s="8" t="s">
        <v>3</v>
      </c>
      <c r="C11" s="8" t="s">
        <v>28</v>
      </c>
      <c r="D11" s="8" t="s">
        <v>4</v>
      </c>
      <c r="E11" s="8" t="s">
        <v>5</v>
      </c>
      <c r="F11" s="14" t="s">
        <v>6</v>
      </c>
      <c r="G11" s="8" t="s">
        <v>7</v>
      </c>
    </row>
    <row r="13" spans="1:7" ht="12.75">
      <c r="A13" s="22">
        <v>42462</v>
      </c>
      <c r="B13" s="15">
        <v>17328845</v>
      </c>
      <c r="C13" s="15">
        <f>148530.29-28078</f>
        <v>120452.29000000001</v>
      </c>
      <c r="D13" s="15">
        <f aca="true" t="shared" si="0" ref="D13:D64">+B13-C13-E13</f>
        <v>15771233.71</v>
      </c>
      <c r="E13" s="15">
        <v>1437159</v>
      </c>
      <c r="F13" s="16">
        <v>940</v>
      </c>
      <c r="G13" s="15">
        <v>218</v>
      </c>
    </row>
    <row r="14" spans="1:7" ht="12.75">
      <c r="A14" s="22">
        <f aca="true" t="shared" si="1" ref="A14:A64">+A13+7</f>
        <v>42469</v>
      </c>
      <c r="B14" s="15">
        <v>18946530</v>
      </c>
      <c r="C14" s="15">
        <v>212554.37</v>
      </c>
      <c r="D14" s="15">
        <f t="shared" si="0"/>
        <v>17279206.63</v>
      </c>
      <c r="E14" s="15">
        <v>1454769</v>
      </c>
      <c r="F14" s="16">
        <v>940</v>
      </c>
      <c r="G14" s="15">
        <v>221</v>
      </c>
    </row>
    <row r="15" spans="1:7" ht="12.75">
      <c r="A15" s="22">
        <f t="shared" si="1"/>
        <v>42476</v>
      </c>
      <c r="B15" s="15">
        <v>17397496</v>
      </c>
      <c r="C15" s="15">
        <v>158609.01</v>
      </c>
      <c r="D15" s="15">
        <f t="shared" si="0"/>
        <v>15856376.989999998</v>
      </c>
      <c r="E15" s="15">
        <v>1382510</v>
      </c>
      <c r="F15" s="16">
        <v>940</v>
      </c>
      <c r="G15" s="15">
        <v>210</v>
      </c>
    </row>
    <row r="16" spans="1:7" ht="12.75">
      <c r="A16" s="22">
        <f t="shared" si="1"/>
        <v>42483</v>
      </c>
      <c r="B16" s="15">
        <v>17830773</v>
      </c>
      <c r="C16" s="15">
        <v>205152.33</v>
      </c>
      <c r="D16" s="15">
        <f t="shared" si="0"/>
        <v>16245792.670000002</v>
      </c>
      <c r="E16" s="15">
        <v>1379828</v>
      </c>
      <c r="F16" s="16">
        <v>940</v>
      </c>
      <c r="G16" s="15">
        <v>210</v>
      </c>
    </row>
    <row r="17" spans="1:7" ht="12.75">
      <c r="A17" s="22">
        <f t="shared" si="1"/>
        <v>42490</v>
      </c>
      <c r="B17" s="15">
        <v>17508353</v>
      </c>
      <c r="C17" s="15">
        <v>172277.93</v>
      </c>
      <c r="D17" s="15">
        <f t="shared" si="0"/>
        <v>16072275.07</v>
      </c>
      <c r="E17" s="15">
        <v>1263800</v>
      </c>
      <c r="F17" s="16">
        <v>940</v>
      </c>
      <c r="G17" s="15">
        <v>192</v>
      </c>
    </row>
    <row r="18" spans="1:7" ht="12.75">
      <c r="A18" s="22">
        <f t="shared" si="1"/>
        <v>42497</v>
      </c>
      <c r="B18" s="15">
        <v>18754065</v>
      </c>
      <c r="C18" s="15">
        <v>180901.25</v>
      </c>
      <c r="D18" s="15">
        <f t="shared" si="0"/>
        <v>17110536.75</v>
      </c>
      <c r="E18" s="15">
        <v>1462627</v>
      </c>
      <c r="F18" s="16">
        <f>6580/7</f>
        <v>940</v>
      </c>
      <c r="G18" s="15">
        <v>222</v>
      </c>
    </row>
    <row r="19" spans="1:7" ht="12.75">
      <c r="A19" s="22">
        <f t="shared" si="1"/>
        <v>42504</v>
      </c>
      <c r="B19" s="15">
        <v>18219835</v>
      </c>
      <c r="C19" s="15">
        <f>211584.91-34925</f>
        <v>176659.91</v>
      </c>
      <c r="D19" s="15">
        <f t="shared" si="0"/>
        <v>16624957.09</v>
      </c>
      <c r="E19" s="15">
        <v>1418218</v>
      </c>
      <c r="F19" s="16">
        <v>940</v>
      </c>
      <c r="G19" s="15">
        <v>216</v>
      </c>
    </row>
    <row r="20" spans="1:7" ht="12.75">
      <c r="A20" s="22">
        <f t="shared" si="1"/>
        <v>42511</v>
      </c>
      <c r="B20" s="15">
        <v>17484391</v>
      </c>
      <c r="C20" s="15">
        <v>187574.24</v>
      </c>
      <c r="D20" s="15">
        <f t="shared" si="0"/>
        <v>16122935.760000002</v>
      </c>
      <c r="E20" s="15">
        <v>1173881</v>
      </c>
      <c r="F20" s="16">
        <v>940</v>
      </c>
      <c r="G20" s="15">
        <v>178</v>
      </c>
    </row>
    <row r="21" spans="1:7" ht="12.75">
      <c r="A21" s="22">
        <f t="shared" si="1"/>
        <v>42518</v>
      </c>
      <c r="B21" s="15">
        <v>17487811</v>
      </c>
      <c r="C21" s="15">
        <v>266107.06</v>
      </c>
      <c r="D21" s="15">
        <f t="shared" si="0"/>
        <v>16003932.940000001</v>
      </c>
      <c r="E21" s="15">
        <v>1217771</v>
      </c>
      <c r="F21" s="16">
        <v>940</v>
      </c>
      <c r="G21" s="15">
        <v>185</v>
      </c>
    </row>
    <row r="22" spans="1:7" ht="12.75">
      <c r="A22" s="22">
        <f t="shared" si="1"/>
        <v>42525</v>
      </c>
      <c r="B22" s="15">
        <v>18712781</v>
      </c>
      <c r="C22" s="15">
        <v>260265.53</v>
      </c>
      <c r="D22" s="15">
        <f t="shared" si="0"/>
        <v>17167850.47</v>
      </c>
      <c r="E22" s="15">
        <v>1284665</v>
      </c>
      <c r="F22" s="16">
        <v>940</v>
      </c>
      <c r="G22" s="15">
        <v>195</v>
      </c>
    </row>
    <row r="23" spans="1:7" ht="12.75">
      <c r="A23" s="22">
        <f t="shared" si="1"/>
        <v>42532</v>
      </c>
      <c r="B23" s="15">
        <v>18614714</v>
      </c>
      <c r="C23" s="15">
        <f>252228.85-51059</f>
        <v>201169.85</v>
      </c>
      <c r="D23" s="15">
        <f t="shared" si="0"/>
        <v>17019199.15</v>
      </c>
      <c r="E23" s="15">
        <v>1394345</v>
      </c>
      <c r="F23" s="16">
        <v>940</v>
      </c>
      <c r="G23" s="15">
        <v>212</v>
      </c>
    </row>
    <row r="24" spans="1:7" ht="12.75">
      <c r="A24" s="22">
        <f t="shared" si="1"/>
        <v>42539</v>
      </c>
      <c r="B24" s="15">
        <v>16890784</v>
      </c>
      <c r="C24" s="15">
        <v>224622.12</v>
      </c>
      <c r="D24" s="15">
        <f t="shared" si="0"/>
        <v>15461579.88</v>
      </c>
      <c r="E24" s="15">
        <v>1204582</v>
      </c>
      <c r="F24" s="16">
        <v>940</v>
      </c>
      <c r="G24" s="15">
        <v>183</v>
      </c>
    </row>
    <row r="25" spans="1:7" ht="12.75">
      <c r="A25" s="22">
        <f t="shared" si="1"/>
        <v>42546</v>
      </c>
      <c r="B25" s="15">
        <v>18326295</v>
      </c>
      <c r="C25" s="15">
        <v>250883.87</v>
      </c>
      <c r="D25" s="15">
        <f t="shared" si="0"/>
        <v>16692958.129999999</v>
      </c>
      <c r="E25" s="15">
        <v>1382453</v>
      </c>
      <c r="F25" s="16">
        <v>940</v>
      </c>
      <c r="G25" s="15">
        <v>210</v>
      </c>
    </row>
    <row r="26" spans="1:7" ht="12.75">
      <c r="A26" s="22">
        <f t="shared" si="1"/>
        <v>42553</v>
      </c>
      <c r="B26" s="15">
        <v>19210124</v>
      </c>
      <c r="C26" s="15">
        <v>258722.03</v>
      </c>
      <c r="D26" s="15">
        <f t="shared" si="0"/>
        <v>17593448.97</v>
      </c>
      <c r="E26" s="15">
        <v>1357953</v>
      </c>
      <c r="F26" s="16">
        <v>940</v>
      </c>
      <c r="G26" s="15">
        <v>206</v>
      </c>
    </row>
    <row r="27" spans="1:7" ht="12.75">
      <c r="A27" s="22">
        <f t="shared" si="1"/>
        <v>42560</v>
      </c>
      <c r="B27" s="15">
        <v>18158569</v>
      </c>
      <c r="C27" s="15">
        <f>206911.78-112292</f>
        <v>94619.78</v>
      </c>
      <c r="D27" s="15">
        <f t="shared" si="0"/>
        <v>16601264.219999999</v>
      </c>
      <c r="E27" s="15">
        <v>1462685</v>
      </c>
      <c r="F27" s="16">
        <v>940</v>
      </c>
      <c r="G27" s="15">
        <v>222</v>
      </c>
    </row>
    <row r="28" spans="1:7" ht="12.75">
      <c r="A28" s="22">
        <f t="shared" si="1"/>
        <v>42567</v>
      </c>
      <c r="B28" s="15">
        <v>16738894</v>
      </c>
      <c r="C28" s="15">
        <v>210624.27</v>
      </c>
      <c r="D28" s="15">
        <f t="shared" si="0"/>
        <v>15311481.73</v>
      </c>
      <c r="E28" s="15">
        <v>1216788</v>
      </c>
      <c r="F28" s="16">
        <v>940</v>
      </c>
      <c r="G28" s="15">
        <v>185</v>
      </c>
    </row>
    <row r="29" spans="1:7" ht="12.75">
      <c r="A29" s="22">
        <f t="shared" si="1"/>
        <v>42574</v>
      </c>
      <c r="B29" s="15">
        <v>17446648</v>
      </c>
      <c r="C29" s="15">
        <v>157160.18</v>
      </c>
      <c r="D29" s="15">
        <f t="shared" si="0"/>
        <v>15953079.82</v>
      </c>
      <c r="E29" s="15">
        <v>1336408</v>
      </c>
      <c r="F29" s="16">
        <v>940</v>
      </c>
      <c r="G29" s="15">
        <v>203</v>
      </c>
    </row>
    <row r="30" spans="1:7" ht="12.75">
      <c r="A30" s="22">
        <f t="shared" si="1"/>
        <v>42581</v>
      </c>
      <c r="B30" s="15">
        <v>16993182</v>
      </c>
      <c r="C30" s="15">
        <v>200675.64</v>
      </c>
      <c r="D30" s="15">
        <f t="shared" si="0"/>
        <v>15564378.36</v>
      </c>
      <c r="E30" s="15">
        <v>1228128</v>
      </c>
      <c r="F30" s="16">
        <v>940</v>
      </c>
      <c r="G30" s="15">
        <v>187</v>
      </c>
    </row>
    <row r="31" spans="1:7" ht="12.75">
      <c r="A31" s="22">
        <f t="shared" si="1"/>
        <v>42588</v>
      </c>
      <c r="B31" s="15">
        <v>16655383</v>
      </c>
      <c r="C31" s="15">
        <f>150753.91-84798</f>
        <v>65955.91</v>
      </c>
      <c r="D31" s="15">
        <f t="shared" si="0"/>
        <v>15219784.09</v>
      </c>
      <c r="E31" s="15">
        <v>1369643</v>
      </c>
      <c r="F31" s="16">
        <v>940</v>
      </c>
      <c r="G31" s="15">
        <v>208</v>
      </c>
    </row>
    <row r="32" spans="1:7" ht="12.75">
      <c r="A32" s="22">
        <f t="shared" si="1"/>
        <v>42595</v>
      </c>
      <c r="B32" s="15">
        <v>13329597</v>
      </c>
      <c r="C32" s="15">
        <v>239104.51</v>
      </c>
      <c r="D32" s="15">
        <f t="shared" si="0"/>
        <v>12297562.49</v>
      </c>
      <c r="E32" s="15">
        <v>792930</v>
      </c>
      <c r="F32" s="16">
        <v>940</v>
      </c>
      <c r="G32" s="15">
        <v>121</v>
      </c>
    </row>
    <row r="33" spans="1:7" ht="12.75">
      <c r="A33" s="22">
        <f t="shared" si="1"/>
        <v>42602</v>
      </c>
      <c r="B33" s="15">
        <v>13101169</v>
      </c>
      <c r="C33" s="15">
        <v>301891.49</v>
      </c>
      <c r="D33" s="15">
        <f t="shared" si="0"/>
        <v>12005011.51</v>
      </c>
      <c r="E33" s="15">
        <v>794266</v>
      </c>
      <c r="F33" s="16">
        <v>940</v>
      </c>
      <c r="G33" s="15">
        <v>121</v>
      </c>
    </row>
    <row r="34" spans="1:7" ht="12.75">
      <c r="A34" s="22">
        <f t="shared" si="1"/>
        <v>42609</v>
      </c>
      <c r="B34" s="15">
        <v>17992030</v>
      </c>
      <c r="C34" s="15">
        <v>224133.47</v>
      </c>
      <c r="D34" s="15">
        <f t="shared" si="0"/>
        <v>16472427.530000001</v>
      </c>
      <c r="E34" s="15">
        <v>1295469</v>
      </c>
      <c r="F34" s="16">
        <v>940</v>
      </c>
      <c r="G34" s="15">
        <v>197</v>
      </c>
    </row>
    <row r="35" spans="1:7" ht="12.75">
      <c r="A35" s="22">
        <f t="shared" si="1"/>
        <v>42616</v>
      </c>
      <c r="B35" s="15">
        <v>18125549</v>
      </c>
      <c r="C35" s="15">
        <v>232319.39</v>
      </c>
      <c r="D35" s="15">
        <f t="shared" si="0"/>
        <v>16525547.61</v>
      </c>
      <c r="E35" s="15">
        <v>1367682</v>
      </c>
      <c r="F35" s="16">
        <f>6580/7</f>
        <v>940</v>
      </c>
      <c r="G35" s="15">
        <v>208</v>
      </c>
    </row>
    <row r="36" spans="1:7" ht="12.75">
      <c r="A36" s="22">
        <f t="shared" si="1"/>
        <v>42623</v>
      </c>
      <c r="B36" s="15">
        <v>17974825</v>
      </c>
      <c r="C36" s="15">
        <f>214150.09-69043</f>
        <v>145107.09</v>
      </c>
      <c r="D36" s="15">
        <f t="shared" si="0"/>
        <v>16554096.91</v>
      </c>
      <c r="E36" s="15">
        <v>1275621</v>
      </c>
      <c r="F36" s="16">
        <v>940</v>
      </c>
      <c r="G36" s="15">
        <v>194</v>
      </c>
    </row>
    <row r="37" spans="1:7" ht="12.75">
      <c r="A37" s="22">
        <f t="shared" si="1"/>
        <v>42630</v>
      </c>
      <c r="B37" s="15">
        <v>15971057</v>
      </c>
      <c r="C37" s="15">
        <v>173379.1</v>
      </c>
      <c r="D37" s="15">
        <f t="shared" si="0"/>
        <v>14627700.9</v>
      </c>
      <c r="E37" s="15">
        <v>1169977</v>
      </c>
      <c r="F37" s="16">
        <v>940</v>
      </c>
      <c r="G37" s="15">
        <v>178</v>
      </c>
    </row>
    <row r="38" spans="1:7" ht="12.75">
      <c r="A38" s="22">
        <f t="shared" si="1"/>
        <v>42637</v>
      </c>
      <c r="B38" s="15">
        <v>15961914</v>
      </c>
      <c r="C38" s="15">
        <v>179442.21</v>
      </c>
      <c r="D38" s="15">
        <f t="shared" si="0"/>
        <v>14674249.79</v>
      </c>
      <c r="E38" s="15">
        <v>1108222</v>
      </c>
      <c r="F38" s="16">
        <v>940</v>
      </c>
      <c r="G38" s="15">
        <v>168</v>
      </c>
    </row>
    <row r="39" spans="1:7" ht="12.75">
      <c r="A39" s="22">
        <f t="shared" si="1"/>
        <v>42644</v>
      </c>
      <c r="B39" s="15">
        <v>15769178</v>
      </c>
      <c r="C39" s="15">
        <v>168362.14</v>
      </c>
      <c r="D39" s="15">
        <f t="shared" si="0"/>
        <v>14466099.86</v>
      </c>
      <c r="E39" s="15">
        <v>1134716</v>
      </c>
      <c r="F39" s="16">
        <v>940</v>
      </c>
      <c r="G39" s="15">
        <v>172</v>
      </c>
    </row>
    <row r="40" spans="1:7" ht="12.75">
      <c r="A40" s="22">
        <f t="shared" si="1"/>
        <v>42651</v>
      </c>
      <c r="B40" s="15">
        <v>16556227</v>
      </c>
      <c r="C40" s="15">
        <f>199116.04-138556</f>
        <v>60560.04000000001</v>
      </c>
      <c r="D40" s="15">
        <f t="shared" si="0"/>
        <v>15149155.96</v>
      </c>
      <c r="E40" s="15">
        <v>1346511</v>
      </c>
      <c r="F40" s="16">
        <v>940</v>
      </c>
      <c r="G40" s="15">
        <v>205</v>
      </c>
    </row>
    <row r="41" spans="1:7" ht="12.75">
      <c r="A41" s="22">
        <f t="shared" si="1"/>
        <v>42658</v>
      </c>
      <c r="B41" s="15">
        <v>14417763</v>
      </c>
      <c r="C41" s="15">
        <v>136866.25</v>
      </c>
      <c r="D41" s="15">
        <f t="shared" si="0"/>
        <v>13200651.75</v>
      </c>
      <c r="E41" s="15">
        <v>1080245</v>
      </c>
      <c r="F41" s="16">
        <v>940</v>
      </c>
      <c r="G41" s="15">
        <v>164</v>
      </c>
    </row>
    <row r="42" spans="1:7" ht="12.75">
      <c r="A42" s="22">
        <f t="shared" si="1"/>
        <v>42665</v>
      </c>
      <c r="B42" s="15">
        <v>13864909</v>
      </c>
      <c r="C42" s="15">
        <v>137831.81</v>
      </c>
      <c r="D42" s="15">
        <f t="shared" si="0"/>
        <v>12702920.19</v>
      </c>
      <c r="E42" s="15">
        <v>1024157</v>
      </c>
      <c r="F42" s="16">
        <v>940</v>
      </c>
      <c r="G42" s="15">
        <v>156</v>
      </c>
    </row>
    <row r="43" spans="1:7" ht="12.75">
      <c r="A43" s="22">
        <f t="shared" si="1"/>
        <v>42672</v>
      </c>
      <c r="B43" s="15">
        <v>15570916</v>
      </c>
      <c r="C43" s="15">
        <v>155377.9</v>
      </c>
      <c r="D43" s="15">
        <f t="shared" si="0"/>
        <v>14263213.1</v>
      </c>
      <c r="E43" s="15">
        <v>1152325</v>
      </c>
      <c r="F43" s="16">
        <v>940</v>
      </c>
      <c r="G43" s="15">
        <v>175</v>
      </c>
    </row>
    <row r="44" spans="1:7" ht="12.75">
      <c r="A44" s="22">
        <f t="shared" si="1"/>
        <v>42679</v>
      </c>
      <c r="B44" s="15">
        <v>16226919</v>
      </c>
      <c r="C44" s="15">
        <f>141340.56-32235</f>
        <v>109105.56</v>
      </c>
      <c r="D44" s="15">
        <f t="shared" si="0"/>
        <v>14811525.44</v>
      </c>
      <c r="E44" s="15">
        <v>1306288</v>
      </c>
      <c r="F44" s="16">
        <v>940</v>
      </c>
      <c r="G44" s="15">
        <v>199</v>
      </c>
    </row>
    <row r="45" spans="1:7" ht="12.75">
      <c r="A45" s="22">
        <f t="shared" si="1"/>
        <v>42686</v>
      </c>
      <c r="B45" s="15">
        <v>15660214</v>
      </c>
      <c r="C45" s="15">
        <v>165871.9</v>
      </c>
      <c r="D45" s="15">
        <f t="shared" si="0"/>
        <v>14341413.1</v>
      </c>
      <c r="E45" s="15">
        <v>1152929</v>
      </c>
      <c r="F45" s="16">
        <f>6580/7</f>
        <v>940</v>
      </c>
      <c r="G45" s="15">
        <v>175</v>
      </c>
    </row>
    <row r="46" spans="1:7" ht="12.75">
      <c r="A46" s="22">
        <f t="shared" si="1"/>
        <v>42693</v>
      </c>
      <c r="B46" s="15">
        <v>14498493</v>
      </c>
      <c r="C46" s="15">
        <v>164879.36</v>
      </c>
      <c r="D46" s="15">
        <f t="shared" si="0"/>
        <v>13250401.64</v>
      </c>
      <c r="E46" s="15">
        <v>1083212</v>
      </c>
      <c r="F46" s="16">
        <f>6580/7</f>
        <v>940</v>
      </c>
      <c r="G46" s="15">
        <v>165</v>
      </c>
    </row>
    <row r="47" spans="1:7" ht="12.75">
      <c r="A47" s="22">
        <f t="shared" si="1"/>
        <v>42700</v>
      </c>
      <c r="B47" s="15">
        <v>14533260</v>
      </c>
      <c r="C47" s="15">
        <v>167714.67</v>
      </c>
      <c r="D47" s="15">
        <f t="shared" si="0"/>
        <v>13315832.33</v>
      </c>
      <c r="E47" s="15">
        <v>1049713</v>
      </c>
      <c r="F47" s="16">
        <f>6580/7</f>
        <v>940</v>
      </c>
      <c r="G47" s="15">
        <v>160</v>
      </c>
    </row>
    <row r="48" spans="1:7" ht="12.75">
      <c r="A48" s="22">
        <f t="shared" si="1"/>
        <v>42707</v>
      </c>
      <c r="B48" s="15">
        <v>15561261</v>
      </c>
      <c r="C48" s="15">
        <f>156512.04-53814</f>
        <v>102698.04000000001</v>
      </c>
      <c r="D48" s="15">
        <f t="shared" si="0"/>
        <v>14256719.96</v>
      </c>
      <c r="E48" s="15">
        <v>1201843</v>
      </c>
      <c r="F48" s="16">
        <f>6580/7</f>
        <v>940</v>
      </c>
      <c r="G48" s="15">
        <v>183</v>
      </c>
    </row>
    <row r="49" spans="1:7" ht="12.75">
      <c r="A49" s="22">
        <f t="shared" si="1"/>
        <v>42714</v>
      </c>
      <c r="B49" s="15">
        <v>14320212</v>
      </c>
      <c r="C49" s="15">
        <v>160374.94</v>
      </c>
      <c r="D49" s="15">
        <f t="shared" si="0"/>
        <v>13115813.06</v>
      </c>
      <c r="E49" s="15">
        <v>1044024</v>
      </c>
      <c r="F49" s="16">
        <f>6580/7</f>
        <v>940</v>
      </c>
      <c r="G49" s="15">
        <v>159</v>
      </c>
    </row>
    <row r="50" spans="1:7" ht="12.75">
      <c r="A50" s="22">
        <f t="shared" si="1"/>
        <v>42721</v>
      </c>
      <c r="B50" s="15">
        <v>11395746</v>
      </c>
      <c r="C50" s="15">
        <v>128180.06</v>
      </c>
      <c r="D50" s="15">
        <f t="shared" si="0"/>
        <v>10473072.94</v>
      </c>
      <c r="E50" s="15">
        <v>794493</v>
      </c>
      <c r="F50" s="16">
        <v>940</v>
      </c>
      <c r="G50" s="15">
        <v>121</v>
      </c>
    </row>
    <row r="51" spans="1:7" ht="12.75">
      <c r="A51" s="22">
        <f t="shared" si="1"/>
        <v>42728</v>
      </c>
      <c r="B51" s="15">
        <v>12894072</v>
      </c>
      <c r="C51" s="15">
        <v>118653.06</v>
      </c>
      <c r="D51" s="15">
        <f t="shared" si="0"/>
        <v>11755905.94</v>
      </c>
      <c r="E51" s="15">
        <v>1019513</v>
      </c>
      <c r="F51" s="16">
        <f>6580/7</f>
        <v>940</v>
      </c>
      <c r="G51" s="15">
        <v>155</v>
      </c>
    </row>
    <row r="52" spans="1:7" ht="12.75">
      <c r="A52" s="22">
        <f t="shared" si="1"/>
        <v>42735</v>
      </c>
      <c r="B52" s="15">
        <v>19635589</v>
      </c>
      <c r="C52" s="15">
        <v>208944.41</v>
      </c>
      <c r="D52" s="15">
        <f t="shared" si="0"/>
        <v>17984645.59</v>
      </c>
      <c r="E52" s="15">
        <v>1441999</v>
      </c>
      <c r="F52" s="16">
        <v>940</v>
      </c>
      <c r="G52" s="15">
        <v>219</v>
      </c>
    </row>
    <row r="53" spans="1:7" ht="12.75">
      <c r="A53" s="22">
        <f t="shared" si="1"/>
        <v>42742</v>
      </c>
      <c r="B53" s="15">
        <v>13696904</v>
      </c>
      <c r="C53" s="15">
        <v>132465.26</v>
      </c>
      <c r="D53" s="15">
        <f t="shared" si="0"/>
        <v>12557315.74</v>
      </c>
      <c r="E53" s="15">
        <v>1007123</v>
      </c>
      <c r="F53" s="16">
        <f aca="true" t="shared" si="2" ref="F53:F58">6580/7</f>
        <v>940</v>
      </c>
      <c r="G53" s="15">
        <v>153</v>
      </c>
    </row>
    <row r="54" spans="1:7" ht="12.75">
      <c r="A54" s="22">
        <f t="shared" si="1"/>
        <v>42749</v>
      </c>
      <c r="B54" s="15">
        <v>15185070</v>
      </c>
      <c r="C54" s="15">
        <f>129136.59-55169</f>
        <v>73967.59</v>
      </c>
      <c r="D54" s="15">
        <f t="shared" si="0"/>
        <v>13807847.41</v>
      </c>
      <c r="E54" s="15">
        <v>1303255</v>
      </c>
      <c r="F54" s="16">
        <f t="shared" si="2"/>
        <v>940</v>
      </c>
      <c r="G54" s="15">
        <v>198</v>
      </c>
    </row>
    <row r="55" spans="1:7" ht="12.75">
      <c r="A55" s="22">
        <f t="shared" si="1"/>
        <v>42756</v>
      </c>
      <c r="B55" s="15">
        <v>16475314</v>
      </c>
      <c r="C55" s="15">
        <v>149811.84</v>
      </c>
      <c r="D55" s="15">
        <f t="shared" si="0"/>
        <v>15032510.16</v>
      </c>
      <c r="E55" s="15">
        <v>1292992</v>
      </c>
      <c r="F55" s="16">
        <f t="shared" si="2"/>
        <v>940</v>
      </c>
      <c r="G55" s="15">
        <v>197</v>
      </c>
    </row>
    <row r="56" spans="1:7" ht="12.75">
      <c r="A56" s="22">
        <f t="shared" si="1"/>
        <v>42763</v>
      </c>
      <c r="B56" s="15">
        <v>13966532</v>
      </c>
      <c r="C56" s="15">
        <v>121395.9</v>
      </c>
      <c r="D56" s="15">
        <f t="shared" si="0"/>
        <v>12767453.1</v>
      </c>
      <c r="E56" s="15">
        <v>1077683</v>
      </c>
      <c r="F56" s="16">
        <f t="shared" si="2"/>
        <v>940</v>
      </c>
      <c r="G56" s="15">
        <v>164</v>
      </c>
    </row>
    <row r="57" spans="1:7" ht="12.75">
      <c r="A57" s="22">
        <f t="shared" si="1"/>
        <v>42770</v>
      </c>
      <c r="B57" s="15">
        <v>15544105</v>
      </c>
      <c r="C57" s="15">
        <f>172096.22-44568</f>
        <v>127528.22</v>
      </c>
      <c r="D57" s="15">
        <f t="shared" si="0"/>
        <v>14209688.78</v>
      </c>
      <c r="E57" s="15">
        <v>1206888</v>
      </c>
      <c r="F57" s="16">
        <f t="shared" si="2"/>
        <v>940</v>
      </c>
      <c r="G57" s="15">
        <v>183</v>
      </c>
    </row>
    <row r="58" spans="1:7" ht="12.75">
      <c r="A58" s="22">
        <f t="shared" si="1"/>
        <v>42777</v>
      </c>
      <c r="B58" s="15">
        <v>15574948</v>
      </c>
      <c r="C58" s="15">
        <v>151891.31</v>
      </c>
      <c r="D58" s="15">
        <f t="shared" si="0"/>
        <v>14304200.69</v>
      </c>
      <c r="E58" s="15">
        <v>1118856</v>
      </c>
      <c r="F58" s="16">
        <f t="shared" si="2"/>
        <v>940</v>
      </c>
      <c r="G58" s="15">
        <v>170</v>
      </c>
    </row>
    <row r="59" spans="1:7" ht="12.75">
      <c r="A59" s="22">
        <f t="shared" si="1"/>
        <v>42784</v>
      </c>
      <c r="B59" s="15">
        <v>17239100</v>
      </c>
      <c r="C59" s="15">
        <v>194837.3</v>
      </c>
      <c r="D59" s="15">
        <f t="shared" si="0"/>
        <v>15854143.7</v>
      </c>
      <c r="E59" s="15">
        <v>1190119</v>
      </c>
      <c r="F59" s="16">
        <f>6580/7</f>
        <v>940</v>
      </c>
      <c r="G59" s="15">
        <v>181</v>
      </c>
    </row>
    <row r="60" spans="1:7" ht="12.75">
      <c r="A60" s="22">
        <f t="shared" si="1"/>
        <v>42791</v>
      </c>
      <c r="B60" s="15">
        <v>18103792</v>
      </c>
      <c r="C60" s="15">
        <v>171774.5</v>
      </c>
      <c r="D60" s="15">
        <f t="shared" si="0"/>
        <v>16475208.5</v>
      </c>
      <c r="E60" s="15">
        <v>1456809</v>
      </c>
      <c r="F60" s="16">
        <f>6580/7</f>
        <v>940</v>
      </c>
      <c r="G60" s="15">
        <v>221</v>
      </c>
    </row>
    <row r="61" spans="1:7" ht="12.75">
      <c r="A61" s="22">
        <f t="shared" si="1"/>
        <v>42798</v>
      </c>
      <c r="B61" s="15">
        <v>19218110</v>
      </c>
      <c r="C61" s="15">
        <f>153929.06-33539</f>
        <v>120390.06</v>
      </c>
      <c r="D61" s="15">
        <f t="shared" si="0"/>
        <v>17636898.94</v>
      </c>
      <c r="E61" s="15">
        <v>1460821</v>
      </c>
      <c r="F61" s="16">
        <f>6580/7</f>
        <v>940</v>
      </c>
      <c r="G61" s="15">
        <v>222</v>
      </c>
    </row>
    <row r="62" spans="1:7" ht="12.75">
      <c r="A62" s="22">
        <f t="shared" si="1"/>
        <v>42805</v>
      </c>
      <c r="B62" s="15">
        <v>16334365</v>
      </c>
      <c r="C62" s="15">
        <v>151274.47</v>
      </c>
      <c r="D62" s="15">
        <f t="shared" si="0"/>
        <v>14944675.53</v>
      </c>
      <c r="E62" s="15">
        <v>1238415</v>
      </c>
      <c r="F62" s="16">
        <f>6580/7</f>
        <v>940</v>
      </c>
      <c r="G62" s="15">
        <v>188</v>
      </c>
    </row>
    <row r="63" spans="1:7" ht="12.75">
      <c r="A63" s="22">
        <f t="shared" si="1"/>
        <v>42812</v>
      </c>
      <c r="B63" s="15">
        <v>17037333</v>
      </c>
      <c r="C63" s="15">
        <v>185244.28</v>
      </c>
      <c r="D63" s="15">
        <f t="shared" si="0"/>
        <v>15533334.719999999</v>
      </c>
      <c r="E63" s="15">
        <v>1318754</v>
      </c>
      <c r="F63" s="16">
        <v>940</v>
      </c>
      <c r="G63" s="15">
        <v>200</v>
      </c>
    </row>
    <row r="64" spans="1:7" ht="12.75">
      <c r="A64" s="22">
        <f t="shared" si="1"/>
        <v>42819</v>
      </c>
      <c r="B64" s="15">
        <v>18428927</v>
      </c>
      <c r="C64" s="15">
        <v>153285.28</v>
      </c>
      <c r="D64" s="15">
        <f t="shared" si="0"/>
        <v>16899505.72</v>
      </c>
      <c r="E64" s="15">
        <v>1376136</v>
      </c>
      <c r="F64" s="16">
        <f>6580/7</f>
        <v>940</v>
      </c>
      <c r="G64" s="15">
        <v>209</v>
      </c>
    </row>
    <row r="67" spans="1:7" ht="13.5" thickBot="1">
      <c r="A67" s="22" t="s">
        <v>8</v>
      </c>
      <c r="B67" s="17">
        <f>SUM(B13:B65)</f>
        <v>858870873</v>
      </c>
      <c r="C67" s="17">
        <f>SUM(C13:C65)</f>
        <v>8819650.979999997</v>
      </c>
      <c r="D67" s="17">
        <f>SUM(D13:D65)</f>
        <v>785939023.0200003</v>
      </c>
      <c r="E67" s="17">
        <f>SUM(E13:E65)</f>
        <v>64112199</v>
      </c>
      <c r="F67" s="24">
        <f>SUM(F13:F66)/COUNT(F13:F66)</f>
        <v>940</v>
      </c>
      <c r="G67" s="17">
        <f>+E67/SUM(F13:F66)/7</f>
        <v>187.37490939911154</v>
      </c>
    </row>
    <row r="68" spans="1:5" s="21" customFormat="1" ht="13.5" thickTop="1">
      <c r="A68" s="22"/>
      <c r="B68" s="20"/>
      <c r="C68" s="20"/>
      <c r="D68" s="20"/>
      <c r="E68" s="20"/>
    </row>
  </sheetData>
  <sheetProtection/>
  <mergeCells count="6">
    <mergeCell ref="A8:G8"/>
    <mergeCell ref="A1:G1"/>
    <mergeCell ref="A2:G2"/>
    <mergeCell ref="A3:G3"/>
    <mergeCell ref="A4:G4"/>
    <mergeCell ref="A5:G5"/>
  </mergeCells>
  <hyperlinks>
    <hyperlink ref="A4" r:id="rId1" display="www.the-fairgrounds.com/gaming.php"/>
  </hyperlinks>
  <printOptions horizontalCentered="1"/>
  <pageMargins left="0" right="0" top="0.5" bottom="0.5" header="0.5" footer="0.5"/>
  <pageSetup fitToHeight="1" fitToWidth="1" horizontalDpi="600" verticalDpi="600" orientation="portrait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Nagori, Rubina (GAMING)</cp:lastModifiedBy>
  <cp:lastPrinted>2024-08-05T17:51:38Z</cp:lastPrinted>
  <dcterms:created xsi:type="dcterms:W3CDTF">2007-10-10T21:03:54Z</dcterms:created>
  <dcterms:modified xsi:type="dcterms:W3CDTF">2024-08-05T17:51:44Z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